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640" windowHeight="11310" tabRatio="700"/>
  </bookViews>
  <sheets>
    <sheet name="Tabela 2.1 B" sheetId="6" r:id="rId1"/>
    <sheet name="SIMUL 2.1 B" sheetId="7" r:id="rId2"/>
    <sheet name="SIMUL 2.1 (COHAB)" sheetId="8" state="hidden" r:id="rId3"/>
  </sheets>
  <definedNames>
    <definedName name="_xlnm.Print_Area" localSheetId="2">'SIMUL 2.1 (COHAB)'!$B$1:$H$76</definedName>
    <definedName name="_xlnm.Print_Area" localSheetId="1">'SIMUL 2.1 B'!$B$1:$H$76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53" i="8" l="1"/>
  <c r="B54" i="8" s="1"/>
  <c r="B55" i="8" s="1"/>
  <c r="B56" i="8" s="1"/>
  <c r="B57" i="8" s="1"/>
  <c r="B58" i="8" s="1"/>
  <c r="B59" i="8" s="1"/>
  <c r="B60" i="8" s="1"/>
  <c r="B61" i="8" s="1"/>
  <c r="B62" i="8" s="1"/>
  <c r="B63" i="8" s="1"/>
  <c r="B64" i="8" s="1"/>
  <c r="B65" i="8" s="1"/>
  <c r="B66" i="8" s="1"/>
  <c r="E19" i="6" l="1"/>
  <c r="E18" i="6"/>
  <c r="E17" i="6"/>
  <c r="E16" i="6"/>
  <c r="E15" i="6"/>
  <c r="H100" i="8" l="1"/>
  <c r="F100" i="8"/>
  <c r="E100" i="8"/>
  <c r="C100" i="8"/>
  <c r="H99" i="8"/>
  <c r="E99" i="8"/>
  <c r="C99" i="8"/>
  <c r="I11" i="8" s="1"/>
  <c r="H98" i="8"/>
  <c r="E98" i="8"/>
  <c r="C98" i="8"/>
  <c r="H97" i="8"/>
  <c r="E97" i="8"/>
  <c r="C97" i="8"/>
  <c r="H96" i="8"/>
  <c r="E96" i="8"/>
  <c r="C96" i="8"/>
  <c r="C90" i="8"/>
  <c r="C89" i="8"/>
  <c r="C88" i="8"/>
  <c r="C87" i="8"/>
  <c r="D85" i="8"/>
  <c r="H76" i="8"/>
  <c r="C76" i="8"/>
  <c r="C75" i="8"/>
  <c r="C74" i="8"/>
  <c r="C73" i="8"/>
  <c r="C72" i="8"/>
  <c r="C71" i="8"/>
  <c r="C70" i="8"/>
  <c r="C69" i="8"/>
  <c r="C68" i="8"/>
  <c r="C67" i="8"/>
  <c r="C66" i="8"/>
  <c r="C65" i="8"/>
  <c r="C64" i="8"/>
  <c r="C63" i="8"/>
  <c r="C62" i="8"/>
  <c r="C61" i="8"/>
  <c r="C60" i="8"/>
  <c r="C59" i="8"/>
  <c r="C58" i="8"/>
  <c r="C57" i="8"/>
  <c r="C56" i="8"/>
  <c r="D55" i="8"/>
  <c r="D54" i="8"/>
  <c r="D53" i="8"/>
  <c r="B67" i="8"/>
  <c r="B68" i="8" s="1"/>
  <c r="B69" i="8" s="1"/>
  <c r="B70" i="8" s="1"/>
  <c r="B71" i="8" s="1"/>
  <c r="B72" i="8" s="1"/>
  <c r="B73" i="8" s="1"/>
  <c r="B74" i="8" s="1"/>
  <c r="B75" i="8" s="1"/>
  <c r="B76" i="8" s="1"/>
  <c r="D52" i="8"/>
  <c r="I15" i="8"/>
  <c r="C37" i="8"/>
  <c r="C36" i="8"/>
  <c r="C35" i="8"/>
  <c r="C32" i="8"/>
  <c r="H100" i="7"/>
  <c r="F100" i="7"/>
  <c r="E100" i="7"/>
  <c r="C100" i="7"/>
  <c r="H99" i="7"/>
  <c r="E99" i="7"/>
  <c r="C99" i="7"/>
  <c r="H98" i="7"/>
  <c r="E98" i="7"/>
  <c r="C98" i="7"/>
  <c r="H97" i="7"/>
  <c r="E97" i="7"/>
  <c r="C97" i="7"/>
  <c r="H96" i="7"/>
  <c r="E96" i="7"/>
  <c r="C96" i="7"/>
  <c r="C90" i="7"/>
  <c r="C89" i="7"/>
  <c r="C88" i="7"/>
  <c r="C87" i="7"/>
  <c r="D85" i="7"/>
  <c r="H76" i="7"/>
  <c r="C76" i="7"/>
  <c r="C75" i="7"/>
  <c r="C74" i="7"/>
  <c r="C73" i="7"/>
  <c r="C72" i="7"/>
  <c r="C71" i="7"/>
  <c r="C70" i="7"/>
  <c r="C69" i="7"/>
  <c r="C68" i="7"/>
  <c r="C67" i="7"/>
  <c r="C66" i="7"/>
  <c r="C65" i="7"/>
  <c r="C64" i="7"/>
  <c r="C63" i="7"/>
  <c r="C62" i="7"/>
  <c r="C61" i="7"/>
  <c r="C60" i="7"/>
  <c r="C59" i="7"/>
  <c r="C58" i="7"/>
  <c r="C57" i="7"/>
  <c r="C56" i="7"/>
  <c r="D55" i="7"/>
  <c r="C55" i="7"/>
  <c r="D54" i="7"/>
  <c r="C54" i="7"/>
  <c r="D53" i="7"/>
  <c r="B53" i="7"/>
  <c r="B54" i="7" s="1"/>
  <c r="B55" i="7" s="1"/>
  <c r="B56" i="7" s="1"/>
  <c r="B57" i="7" s="1"/>
  <c r="B58" i="7" s="1"/>
  <c r="B59" i="7" s="1"/>
  <c r="B60" i="7" s="1"/>
  <c r="B61" i="7" s="1"/>
  <c r="B62" i="7" s="1"/>
  <c r="B63" i="7" s="1"/>
  <c r="B64" i="7" s="1"/>
  <c r="B65" i="7" s="1"/>
  <c r="B66" i="7" s="1"/>
  <c r="B67" i="7" s="1"/>
  <c r="B68" i="7" s="1"/>
  <c r="B69" i="7" s="1"/>
  <c r="B70" i="7" s="1"/>
  <c r="B71" i="7" s="1"/>
  <c r="B72" i="7" s="1"/>
  <c r="B73" i="7" s="1"/>
  <c r="B74" i="7" s="1"/>
  <c r="B75" i="7" s="1"/>
  <c r="B76" i="7" s="1"/>
  <c r="D52" i="7"/>
  <c r="C37" i="7"/>
  <c r="C36" i="7"/>
  <c r="C35" i="7"/>
  <c r="C32" i="7"/>
  <c r="I15" i="7"/>
  <c r="I11" i="7"/>
  <c r="F19" i="6"/>
  <c r="D100" i="8"/>
  <c r="F99" i="8"/>
  <c r="C82" i="8" s="1"/>
  <c r="D99" i="8"/>
  <c r="C29" i="8" s="1"/>
  <c r="F98" i="7"/>
  <c r="F97" i="8"/>
  <c r="F96" i="8"/>
  <c r="D96" i="8"/>
  <c r="C34" i="8" l="1"/>
  <c r="C34" i="7"/>
  <c r="C14" i="8"/>
  <c r="E14" i="8" s="1"/>
  <c r="C53" i="8" s="1"/>
  <c r="D39" i="8"/>
  <c r="I18" i="8"/>
  <c r="D96" i="7"/>
  <c r="F96" i="7"/>
  <c r="D99" i="7"/>
  <c r="F18" i="6"/>
  <c r="G99" i="8" s="1"/>
  <c r="F99" i="7"/>
  <c r="D97" i="7"/>
  <c r="C29" i="7" s="1"/>
  <c r="C14" i="7" s="1"/>
  <c r="D97" i="8"/>
  <c r="D100" i="7"/>
  <c r="C31" i="8"/>
  <c r="C30" i="8" s="1"/>
  <c r="G100" i="8"/>
  <c r="G100" i="7"/>
  <c r="F16" i="6"/>
  <c r="D98" i="8"/>
  <c r="D98" i="7"/>
  <c r="I18" i="7"/>
  <c r="C52" i="8"/>
  <c r="I52" i="8" s="1"/>
  <c r="F97" i="7"/>
  <c r="C82" i="7" s="1"/>
  <c r="D39" i="7"/>
  <c r="F17" i="6"/>
  <c r="F15" i="6"/>
  <c r="F98" i="8"/>
  <c r="C54" i="8" l="1"/>
  <c r="C55" i="8"/>
  <c r="G99" i="7"/>
  <c r="G97" i="8"/>
  <c r="G97" i="7"/>
  <c r="G96" i="8"/>
  <c r="G96" i="7"/>
  <c r="C83" i="8"/>
  <c r="I14" i="8" s="1"/>
  <c r="G98" i="8"/>
  <c r="G98" i="7"/>
  <c r="E14" i="7"/>
  <c r="C31" i="7"/>
  <c r="C38" i="8"/>
  <c r="C52" i="7" l="1"/>
  <c r="I52" i="7" s="1"/>
  <c r="C53" i="7"/>
  <c r="C45" i="8"/>
  <c r="C39" i="8"/>
  <c r="C30" i="7"/>
  <c r="C83" i="7"/>
  <c r="I14" i="7" s="1"/>
  <c r="C38" i="7"/>
  <c r="E45" i="8" l="1"/>
  <c r="C41" i="8"/>
  <c r="E41" i="8" s="1"/>
  <c r="C42" i="8"/>
  <c r="E42" i="8" s="1"/>
  <c r="C40" i="8"/>
  <c r="E40" i="8" s="1"/>
  <c r="C43" i="8"/>
  <c r="E43" i="8" s="1"/>
  <c r="C39" i="7"/>
  <c r="C44" i="7" s="1"/>
  <c r="C45" i="7"/>
  <c r="C44" i="8"/>
  <c r="C46" i="8" s="1"/>
  <c r="I12" i="8" s="1"/>
  <c r="I13" i="8" s="1"/>
  <c r="I17" i="8" l="1"/>
  <c r="G76" i="8"/>
  <c r="F59" i="8"/>
  <c r="I16" i="8"/>
  <c r="I19" i="8" s="1"/>
  <c r="F71" i="8"/>
  <c r="C46" i="7"/>
  <c r="I12" i="7" s="1"/>
  <c r="I13" i="7" s="1"/>
  <c r="E45" i="7"/>
  <c r="F61" i="7" s="1"/>
  <c r="F73" i="7" s="1"/>
  <c r="C42" i="7"/>
  <c r="E42" i="7" s="1"/>
  <c r="C41" i="7"/>
  <c r="E41" i="7" s="1"/>
  <c r="C43" i="7"/>
  <c r="E43" i="7" s="1"/>
  <c r="C40" i="7"/>
  <c r="E40" i="7" s="1"/>
  <c r="E70" i="8"/>
  <c r="I70" i="8" s="1"/>
  <c r="E68" i="8"/>
  <c r="I68" i="8" s="1"/>
  <c r="E66" i="8"/>
  <c r="I66" i="8" s="1"/>
  <c r="E69" i="8"/>
  <c r="I69" i="8" s="1"/>
  <c r="E67" i="8"/>
  <c r="I67" i="8" s="1"/>
  <c r="E65" i="8"/>
  <c r="I65" i="8" s="1"/>
  <c r="E76" i="8"/>
  <c r="I76" i="8" s="1"/>
  <c r="E74" i="8"/>
  <c r="I74" i="8" s="1"/>
  <c r="E72" i="8"/>
  <c r="I72" i="8" s="1"/>
  <c r="E71" i="8"/>
  <c r="E75" i="8"/>
  <c r="I75" i="8" s="1"/>
  <c r="E73" i="8"/>
  <c r="I73" i="8" s="1"/>
  <c r="E57" i="8"/>
  <c r="I57" i="8" s="1"/>
  <c r="E58" i="8"/>
  <c r="I58" i="8" s="1"/>
  <c r="E56" i="8"/>
  <c r="I56" i="8" s="1"/>
  <c r="E53" i="8"/>
  <c r="I53" i="8" s="1"/>
  <c r="E55" i="8"/>
  <c r="I55" i="8" s="1"/>
  <c r="E54" i="8"/>
  <c r="I54" i="8" s="1"/>
  <c r="E64" i="8"/>
  <c r="I64" i="8" s="1"/>
  <c r="E62" i="8"/>
  <c r="I62" i="8" s="1"/>
  <c r="E60" i="8"/>
  <c r="I60" i="8" s="1"/>
  <c r="E63" i="8"/>
  <c r="I63" i="8" s="1"/>
  <c r="E61" i="8"/>
  <c r="I61" i="8" s="1"/>
  <c r="E59" i="8"/>
  <c r="I59" i="8" s="1"/>
  <c r="I71" i="8" l="1"/>
  <c r="E71" i="7"/>
  <c r="E76" i="7"/>
  <c r="E74" i="7"/>
  <c r="I74" i="7" s="1"/>
  <c r="E72" i="7"/>
  <c r="I72" i="7" s="1"/>
  <c r="E75" i="7"/>
  <c r="I75" i="7" s="1"/>
  <c r="E73" i="7"/>
  <c r="I73" i="7" s="1"/>
  <c r="E63" i="7"/>
  <c r="I63" i="7" s="1"/>
  <c r="E61" i="7"/>
  <c r="I61" i="7" s="1"/>
  <c r="E59" i="7"/>
  <c r="E64" i="7"/>
  <c r="I64" i="7" s="1"/>
  <c r="E60" i="7"/>
  <c r="I60" i="7" s="1"/>
  <c r="E62" i="7"/>
  <c r="I62" i="7" s="1"/>
  <c r="E69" i="7"/>
  <c r="I69" i="7" s="1"/>
  <c r="E67" i="7"/>
  <c r="I67" i="7" s="1"/>
  <c r="E65" i="7"/>
  <c r="I65" i="7" s="1"/>
  <c r="E68" i="7"/>
  <c r="I68" i="7" s="1"/>
  <c r="E70" i="7"/>
  <c r="I70" i="7" s="1"/>
  <c r="E66" i="7"/>
  <c r="I66" i="7" s="1"/>
  <c r="I16" i="7"/>
  <c r="I19" i="7" s="1"/>
  <c r="G76" i="7"/>
  <c r="I17" i="7"/>
  <c r="E57" i="7"/>
  <c r="I57" i="7" s="1"/>
  <c r="E58" i="7"/>
  <c r="I58" i="7" s="1"/>
  <c r="E56" i="7"/>
  <c r="I56" i="7" s="1"/>
  <c r="E55" i="7"/>
  <c r="I55" i="7" s="1"/>
  <c r="E53" i="7"/>
  <c r="I53" i="7" s="1"/>
  <c r="E54" i="7"/>
  <c r="I54" i="7" s="1"/>
  <c r="I76" i="7" l="1"/>
  <c r="I59" i="7"/>
  <c r="I71" i="7"/>
</calcChain>
</file>

<file path=xl/sharedStrings.xml><?xml version="1.0" encoding="utf-8"?>
<sst xmlns="http://schemas.openxmlformats.org/spreadsheetml/2006/main" count="250" uniqueCount="122">
  <si>
    <t>Pavimento</t>
  </si>
  <si>
    <t>Parcela Adimplência</t>
  </si>
  <si>
    <t>Sub-total</t>
  </si>
  <si>
    <t>Saldo Restante
(FIN + SUB + FGTS + Mensais)</t>
  </si>
  <si>
    <t>Periodicidade</t>
  </si>
  <si>
    <t>Térreo</t>
  </si>
  <si>
    <t>1o andar</t>
  </si>
  <si>
    <t>2o andar</t>
  </si>
  <si>
    <t>3o andar</t>
  </si>
  <si>
    <t>4o andar</t>
  </si>
  <si>
    <t>Observações importantes</t>
  </si>
  <si>
    <t>a) A concessão do financiamento será feita pela CAIXA, condicionada à analise cadastral e capacidade de renda do comprador.</t>
  </si>
  <si>
    <t>b) Todos os valores desta tabela de preços estão expressos em reais (R$).</t>
  </si>
  <si>
    <t>c) A presente tabela de preços poderá ser alterada em qualquer tempo, sem prévio aviso</t>
  </si>
  <si>
    <t xml:space="preserve">    c.1) Parcelas mensais, anuais e de periodicidade serão reajustadas pela variação do INCC-FGV, conforme contrato.</t>
  </si>
  <si>
    <t xml:space="preserve">    c.2) A parcela de financiamento será corrigida até a assinatura com a CEF.</t>
  </si>
  <si>
    <t>d) Caso seja verificado uma capacidade de crédito menor do que a apresentada, a diferença deverá ser paga até a assinatura com a CEF</t>
  </si>
  <si>
    <t>PREVISÃO DE ENTREGA:</t>
  </si>
  <si>
    <t>PROPOSTA DE COMPRA</t>
  </si>
  <si>
    <t>Data</t>
  </si>
  <si>
    <t>Imobiliária</t>
  </si>
  <si>
    <t>Corretor</t>
  </si>
  <si>
    <t>1° Proponente</t>
  </si>
  <si>
    <t>CPF:</t>
  </si>
  <si>
    <t>2° proponente</t>
  </si>
  <si>
    <t>Torre</t>
  </si>
  <si>
    <t>Unidade</t>
  </si>
  <si>
    <t>APROVAÇÃO</t>
  </si>
  <si>
    <t>Renda Bruta (SICAQ)</t>
  </si>
  <si>
    <t>Tabela</t>
  </si>
  <si>
    <t>Proposta</t>
  </si>
  <si>
    <t>TOTAL</t>
  </si>
  <si>
    <t>Nº parcelas</t>
  </si>
  <si>
    <t>Valor parcela</t>
  </si>
  <si>
    <t>Diferença</t>
  </si>
  <si>
    <t>Comissão</t>
  </si>
  <si>
    <t xml:space="preserve">  Ato FYP</t>
  </si>
  <si>
    <t>Ato FYP - 0</t>
  </si>
  <si>
    <t>Ato FYP - 30</t>
  </si>
  <si>
    <t xml:space="preserve">  Mensais</t>
  </si>
  <si>
    <t xml:space="preserve">Ato FYP - 60 </t>
  </si>
  <si>
    <t xml:space="preserve">  Anuais</t>
  </si>
  <si>
    <t>Ato FYP - 90</t>
  </si>
  <si>
    <t xml:space="preserve">  Financiamento</t>
  </si>
  <si>
    <t>Financiamento</t>
  </si>
  <si>
    <t xml:space="preserve">  Valor total</t>
  </si>
  <si>
    <t>Subsídio</t>
  </si>
  <si>
    <t>FGTS</t>
  </si>
  <si>
    <t>Boletos dia ...</t>
  </si>
  <si>
    <t>ASSINATURAS</t>
  </si>
  <si>
    <t>Observação 1</t>
  </si>
  <si>
    <t>PROPONENTE(S)</t>
  </si>
  <si>
    <t>Observação 2</t>
  </si>
  <si>
    <t>COORDENADOR(A)
DA IMOBILIÁRIA</t>
  </si>
  <si>
    <t>Observação 3</t>
  </si>
  <si>
    <t>RESUMO</t>
  </si>
  <si>
    <t>Totais</t>
  </si>
  <si>
    <t>Valor da parcela</t>
  </si>
  <si>
    <t>1) Parcela Adimp.</t>
  </si>
  <si>
    <t>2) Ato total</t>
  </si>
  <si>
    <t xml:space="preserve">     1.1) Comissão</t>
  </si>
  <si>
    <t xml:space="preserve">     1.2) FYP</t>
  </si>
  <si>
    <t>3) Periodicidade*</t>
  </si>
  <si>
    <t>4) Valores CEF**</t>
  </si>
  <si>
    <t xml:space="preserve">     4.1) Financ.</t>
  </si>
  <si>
    <t xml:space="preserve">     4.2) Subsídio</t>
  </si>
  <si>
    <t xml:space="preserve">     4.3) FGTS</t>
  </si>
  <si>
    <t>Saldo</t>
  </si>
  <si>
    <t>5) Mensais*</t>
  </si>
  <si>
    <t xml:space="preserve">     do 1º Semestre*</t>
  </si>
  <si>
    <t xml:space="preserve">     do 2º Semestre*</t>
  </si>
  <si>
    <t xml:space="preserve">     do 3º Semestre*</t>
  </si>
  <si>
    <t>* Corrigidas mensalmente pelo INCC_M</t>
  </si>
  <si>
    <t>** Corrigidas mensalmente pelo INCC_M até a assinatura com a CEF</t>
  </si>
  <si>
    <t>FLUXO DE PAGTOS</t>
  </si>
  <si>
    <t>COMISSÃO</t>
  </si>
  <si>
    <t>ATO FYP</t>
  </si>
  <si>
    <t>MENSAIS</t>
  </si>
  <si>
    <t>PARA USO EXCLUSIVO DA INCORPORADORA</t>
  </si>
  <si>
    <t>Condição</t>
  </si>
  <si>
    <t>Mínimos</t>
  </si>
  <si>
    <t>Máximos</t>
  </si>
  <si>
    <t xml:space="preserve">     4.1) Financiamento</t>
  </si>
  <si>
    <t>5) Mensais</t>
  </si>
  <si>
    <t xml:space="preserve">     1º Semestre</t>
  </si>
  <si>
    <t xml:space="preserve">     2º Semestre</t>
  </si>
  <si>
    <t xml:space="preserve">     3º Semestre</t>
  </si>
  <si>
    <t>Prazo restante mensais</t>
  </si>
  <si>
    <t>TABELA DO MÓDULO 1 - TORRES 1, 3, 4 e 5</t>
  </si>
  <si>
    <t>De 16/07/2018 a 15/08/2018</t>
  </si>
  <si>
    <t>Valor da tabela</t>
  </si>
  <si>
    <t>ATO</t>
  </si>
  <si>
    <t>Saldo Restante</t>
  </si>
  <si>
    <t>FIN MAX</t>
  </si>
  <si>
    <t>numero andar</t>
  </si>
  <si>
    <t>Terreo</t>
  </si>
  <si>
    <t>Ato</t>
  </si>
  <si>
    <t xml:space="preserve">     do 4º Semestre*</t>
  </si>
  <si>
    <t xml:space="preserve">     4º Semestre</t>
  </si>
  <si>
    <t>Regressiva</t>
  </si>
  <si>
    <t>7) Chaves*</t>
  </si>
  <si>
    <t>6) Anuais*</t>
  </si>
  <si>
    <t xml:space="preserve">  Chaves</t>
  </si>
  <si>
    <t>ANUAIS</t>
  </si>
  <si>
    <t>CHAVES</t>
  </si>
  <si>
    <t>PERIOD.</t>
  </si>
  <si>
    <t>REGISTRO GRATIS somente para clientes MCMV.</t>
  </si>
  <si>
    <t>REGISTRO POR CONTA DO CLIENTE para clientes SBPE ou compra direta com a Incorporadora.</t>
  </si>
  <si>
    <t>ITBI POR CONTA DO CLIENTE para clientes não cadastrados na COHAB</t>
  </si>
  <si>
    <t>PRODUTOS CEF - Cliente MCMV deverá provisionar R$ 900,00. Cliente SBPE terá valores diferentes, consulte o Correspondente Bancário</t>
  </si>
  <si>
    <t>ficando obrigado a assinar o Requerimento de Isenção de ITBI e/ou apresentar documentações adicionais quando soliticado pela Incorporadora.</t>
  </si>
  <si>
    <r>
      <t>ITBI GRÁTIS para clientes cadastrados na COHAB</t>
    </r>
    <r>
      <rPr>
        <sz val="14"/>
        <rFont val="Arial"/>
        <family val="2"/>
      </rPr>
      <t>, desde que ele comprove o cadastro previamente à compra e tenha renda bruta familiar até 6 salários mínimos,</t>
    </r>
  </si>
  <si>
    <r>
      <rPr>
        <b/>
        <sz val="14"/>
        <rFont val="Arial"/>
        <family val="2"/>
      </rPr>
      <t>24 MESES</t>
    </r>
    <r>
      <rPr>
        <sz val="14"/>
        <color rgb="FF000000"/>
        <rFont val="Arial"/>
        <family val="2"/>
      </rPr>
      <t>, a contar da assinatura do 1º contrato de financiamento com a Caixa Economica Federal.</t>
    </r>
  </si>
  <si>
    <t>Preço total</t>
  </si>
  <si>
    <t>Parcelas condicionadas</t>
  </si>
  <si>
    <t>1) Parcelas condic.</t>
  </si>
  <si>
    <t>AOV II - CONDOMÍNIO DAS PRIMAVERAS</t>
  </si>
  <si>
    <t>e) As parcelas condicionadas terão suas condições especificadas no contrato definitivo.</t>
  </si>
  <si>
    <t>Telefone:</t>
  </si>
  <si>
    <t>Email:</t>
  </si>
  <si>
    <r>
      <t xml:space="preserve">INCORPORADORA
</t>
    </r>
    <r>
      <rPr>
        <sz val="11"/>
        <rFont val="Arial"/>
        <family val="2"/>
      </rPr>
      <t>(SPE ALAMEDAS OURO VERDE)</t>
    </r>
  </si>
  <si>
    <t>Válida a partir de 02/06/2020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</si>
</sst>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R$ -416]#,##0.00"/>
    <numFmt numFmtId="165" formatCode="[$R$ -416]#,##0"/>
    <numFmt numFmtId="166" formatCode="mm&quot;/&quot;yyyy"/>
  </numFmts>
  <fonts count="20" x14ac:knownFonts="1">
    <font>
      <sz val="10"/>
      <color rgb="FF000000"/>
      <name val="Arial"/>
    </font>
    <font>
      <b/>
      <sz val="14"/>
      <color rgb="FFFFFFFF"/>
      <name val="Arial"/>
      <family val="2"/>
    </font>
    <font>
      <sz val="10"/>
      <name val="Arial"/>
      <family val="2"/>
    </font>
    <font>
      <sz val="14"/>
      <color rgb="FFFFFFFF"/>
      <name val="Arial"/>
      <family val="2"/>
    </font>
    <font>
      <b/>
      <sz val="14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rgb="FF00000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2"/>
      <color rgb="FFFFFFFF"/>
      <name val="Calibri"/>
      <family val="2"/>
      <scheme val="minor"/>
    </font>
    <font>
      <sz val="12"/>
      <color rgb="FFFFFFFF"/>
      <name val="Calibri"/>
      <family val="2"/>
      <scheme val="minor"/>
    </font>
    <font>
      <b/>
      <sz val="14"/>
      <color rgb="FFFFFFFF"/>
      <name val="Calibri"/>
      <family val="2"/>
      <scheme val="minor"/>
    </font>
    <font>
      <sz val="14"/>
      <color rgb="FF000000"/>
      <name val="Calibri"/>
      <family val="2"/>
      <scheme val="minor"/>
    </font>
    <font>
      <sz val="11"/>
      <color rgb="FF00000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4"/>
      <color rgb="FF00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FFFFFF"/>
        <bgColor rgb="FFFFFFFF"/>
      </patternFill>
    </fill>
    <fill>
      <patternFill patternType="solid">
        <fgColor rgb="FFFFE599"/>
        <bgColor rgb="FFFFE599"/>
      </patternFill>
    </fill>
    <fill>
      <patternFill patternType="solid">
        <fgColor rgb="FFB6D7A8"/>
        <bgColor rgb="FFB6D7A8"/>
      </patternFill>
    </fill>
    <fill>
      <patternFill patternType="solid">
        <fgColor rgb="FFCFE2F3"/>
        <bgColor rgb="FFCFE2F3"/>
      </patternFill>
    </fill>
    <fill>
      <patternFill patternType="solid">
        <fgColor rgb="FFFFF2CC"/>
        <bgColor rgb="FFFFF2CC"/>
      </patternFill>
    </fill>
    <fill>
      <patternFill patternType="solid">
        <fgColor rgb="FFF3F3F3"/>
        <bgColor rgb="FFF3F3F3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rgb="FFFFF2CC"/>
      </patternFill>
    </fill>
  </fills>
  <borders count="11">
    <border>
      <left/>
      <right/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06">
    <xf numFmtId="0" fontId="0" fillId="0" borderId="0" xfId="0" applyFont="1" applyAlignment="1"/>
    <xf numFmtId="0" fontId="1" fillId="2" borderId="1" xfId="0" applyFont="1" applyFill="1" applyBorder="1" applyAlignment="1">
      <alignment horizontal="left"/>
    </xf>
    <xf numFmtId="0" fontId="2" fillId="2" borderId="0" xfId="0" applyFont="1" applyFill="1"/>
    <xf numFmtId="0" fontId="3" fillId="2" borderId="1" xfId="0" applyFont="1" applyFill="1" applyBorder="1" applyAlignment="1">
      <alignment horizontal="left"/>
    </xf>
    <xf numFmtId="0" fontId="4" fillId="3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/>
    <xf numFmtId="165" fontId="6" fillId="6" borderId="1" xfId="0" applyNumberFormat="1" applyFont="1" applyFill="1" applyBorder="1" applyAlignment="1">
      <alignment horizontal="center"/>
    </xf>
    <xf numFmtId="0" fontId="8" fillId="3" borderId="0" xfId="0" applyFont="1" applyFill="1" applyAlignment="1">
      <alignment horizontal="left"/>
    </xf>
    <xf numFmtId="0" fontId="7" fillId="0" borderId="0" xfId="0" applyFont="1" applyAlignment="1"/>
    <xf numFmtId="0" fontId="11" fillId="0" borderId="0" xfId="0" applyFont="1"/>
    <xf numFmtId="0" fontId="10" fillId="3" borderId="1" xfId="0" applyFont="1" applyFill="1" applyBorder="1" applyAlignment="1">
      <alignment horizontal="left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0" fillId="3" borderId="0" xfId="0" applyFont="1" applyFill="1" applyAlignment="1">
      <alignment horizontal="center" vertical="center" wrapText="1"/>
    </xf>
    <xf numFmtId="0" fontId="10" fillId="0" borderId="1" xfId="0" applyFont="1" applyBorder="1" applyAlignment="1"/>
    <xf numFmtId="164" fontId="10" fillId="3" borderId="1" xfId="0" applyNumberFormat="1" applyFont="1" applyFill="1" applyBorder="1" applyAlignment="1">
      <alignment horizontal="right" vertical="center" wrapText="1"/>
    </xf>
    <xf numFmtId="0" fontId="11" fillId="0" borderId="0" xfId="0" applyFont="1" applyAlignment="1">
      <alignment horizontal="center"/>
    </xf>
    <xf numFmtId="0" fontId="11" fillId="0" borderId="1" xfId="0" applyFont="1" applyBorder="1" applyAlignment="1"/>
    <xf numFmtId="3" fontId="11" fillId="3" borderId="1" xfId="0" applyNumberFormat="1" applyFont="1" applyFill="1" applyBorder="1" applyAlignment="1">
      <alignment horizontal="center"/>
    </xf>
    <xf numFmtId="0" fontId="10" fillId="3" borderId="0" xfId="0" applyFont="1" applyFill="1" applyAlignment="1">
      <alignment horizontal="left" vertical="center" wrapText="1"/>
    </xf>
    <xf numFmtId="164" fontId="10" fillId="3" borderId="1" xfId="0" applyNumberFormat="1" applyFont="1" applyFill="1" applyBorder="1" applyAlignment="1">
      <alignment horizontal="center" vertical="center" wrapText="1"/>
    </xf>
    <xf numFmtId="164" fontId="11" fillId="0" borderId="1" xfId="0" applyNumberFormat="1" applyFont="1" applyBorder="1" applyAlignment="1">
      <alignment horizontal="center"/>
    </xf>
    <xf numFmtId="164" fontId="11" fillId="3" borderId="1" xfId="0" applyNumberFormat="1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left"/>
    </xf>
    <xf numFmtId="0" fontId="11" fillId="2" borderId="0" xfId="0" applyFont="1" applyFill="1"/>
    <xf numFmtId="0" fontId="13" fillId="2" borderId="1" xfId="0" applyFont="1" applyFill="1" applyBorder="1" applyAlignment="1">
      <alignment horizontal="left"/>
    </xf>
    <xf numFmtId="0" fontId="13" fillId="2" borderId="6" xfId="0" applyFont="1" applyFill="1" applyBorder="1" applyAlignment="1">
      <alignment horizontal="center" vertical="center"/>
    </xf>
    <xf numFmtId="4" fontId="11" fillId="3" borderId="1" xfId="0" applyNumberFormat="1" applyFont="1" applyFill="1" applyBorder="1" applyAlignment="1">
      <alignment horizontal="center"/>
    </xf>
    <xf numFmtId="4" fontId="9" fillId="0" borderId="0" xfId="0" applyNumberFormat="1" applyFont="1" applyAlignment="1"/>
    <xf numFmtId="0" fontId="4" fillId="5" borderId="1" xfId="0" applyFont="1" applyFill="1" applyBorder="1" applyAlignment="1">
      <alignment horizontal="center" vertical="center" wrapText="1"/>
    </xf>
    <xf numFmtId="165" fontId="6" fillId="3" borderId="1" xfId="0" applyNumberFormat="1" applyFont="1" applyFill="1" applyBorder="1" applyAlignment="1">
      <alignment horizontal="center"/>
    </xf>
    <xf numFmtId="165" fontId="6" fillId="4" borderId="1" xfId="0" applyNumberFormat="1" applyFont="1" applyFill="1" applyBorder="1" applyAlignment="1">
      <alignment horizontal="center"/>
    </xf>
    <xf numFmtId="165" fontId="6" fillId="5" borderId="1" xfId="0" applyNumberFormat="1" applyFont="1" applyFill="1" applyBorder="1" applyAlignment="1">
      <alignment horizontal="center"/>
    </xf>
    <xf numFmtId="9" fontId="11" fillId="0" borderId="1" xfId="0" applyNumberFormat="1" applyFont="1" applyBorder="1" applyAlignment="1" applyProtection="1">
      <alignment horizontal="center"/>
    </xf>
    <xf numFmtId="0" fontId="17" fillId="3" borderId="2" xfId="0" applyFont="1" applyFill="1" applyBorder="1" applyAlignment="1">
      <alignment horizontal="left" vertical="center" wrapText="1"/>
    </xf>
    <xf numFmtId="164" fontId="17" fillId="7" borderId="1" xfId="0" applyNumberFormat="1" applyFont="1" applyFill="1" applyBorder="1" applyAlignment="1" applyProtection="1">
      <alignment horizontal="center" vertical="center" wrapText="1"/>
      <protection locked="0"/>
    </xf>
    <xf numFmtId="0" fontId="18" fillId="0" borderId="0" xfId="0" applyFont="1"/>
    <xf numFmtId="0" fontId="17" fillId="7" borderId="1" xfId="0" applyFont="1" applyFill="1" applyBorder="1" applyAlignment="1" applyProtection="1">
      <alignment horizontal="center"/>
      <protection locked="0"/>
    </xf>
    <xf numFmtId="0" fontId="17" fillId="3" borderId="1" xfId="0" applyFont="1" applyFill="1" applyBorder="1" applyAlignment="1">
      <alignment horizontal="left" vertical="center" wrapText="1"/>
    </xf>
    <xf numFmtId="0" fontId="17" fillId="7" borderId="5" xfId="0" applyFont="1" applyFill="1" applyBorder="1" applyAlignment="1" applyProtection="1">
      <alignment horizontal="center" vertical="center" wrapText="1"/>
      <protection locked="0"/>
    </xf>
    <xf numFmtId="0" fontId="18" fillId="3" borderId="0" xfId="0" applyFont="1" applyFill="1" applyAlignment="1">
      <alignment horizontal="left" vertical="center" wrapText="1"/>
    </xf>
    <xf numFmtId="0" fontId="17" fillId="3" borderId="1" xfId="0" applyFont="1" applyFill="1" applyBorder="1" applyAlignment="1">
      <alignment horizontal="center" vertical="center" wrapText="1"/>
    </xf>
    <xf numFmtId="4" fontId="17" fillId="3" borderId="1" xfId="0" applyNumberFormat="1" applyFont="1" applyFill="1" applyBorder="1" applyAlignment="1">
      <alignment horizontal="center" vertical="center" wrapText="1"/>
    </xf>
    <xf numFmtId="0" fontId="17" fillId="0" borderId="0" xfId="0" applyFont="1" applyAlignment="1">
      <alignment horizontal="right" vertical="center" textRotation="90"/>
    </xf>
    <xf numFmtId="0" fontId="17" fillId="0" borderId="1" xfId="0" applyFont="1" applyBorder="1" applyAlignment="1"/>
    <xf numFmtId="164" fontId="18" fillId="3" borderId="1" xfId="0" applyNumberFormat="1" applyFont="1" applyFill="1" applyBorder="1" applyAlignment="1">
      <alignment horizontal="right"/>
    </xf>
    <xf numFmtId="3" fontId="18" fillId="7" borderId="1" xfId="0" applyNumberFormat="1" applyFont="1" applyFill="1" applyBorder="1" applyAlignment="1" applyProtection="1">
      <alignment horizontal="center"/>
      <protection locked="0"/>
    </xf>
    <xf numFmtId="164" fontId="18" fillId="7" borderId="1" xfId="0" applyNumberFormat="1" applyFont="1" applyFill="1" applyBorder="1" applyAlignment="1" applyProtection="1">
      <alignment horizontal="right"/>
      <protection locked="0"/>
    </xf>
    <xf numFmtId="4" fontId="17" fillId="3" borderId="0" xfId="0" applyNumberFormat="1" applyFont="1" applyFill="1" applyAlignment="1">
      <alignment horizontal="center" vertical="center" wrapText="1"/>
    </xf>
    <xf numFmtId="0" fontId="17" fillId="3" borderId="0" xfId="0" applyFont="1" applyFill="1" applyAlignment="1">
      <alignment horizontal="center" vertical="center" wrapText="1"/>
    </xf>
    <xf numFmtId="0" fontId="17" fillId="0" borderId="1" xfId="0" applyFont="1" applyBorder="1" applyAlignment="1">
      <alignment vertical="center"/>
    </xf>
    <xf numFmtId="3" fontId="18" fillId="7" borderId="1" xfId="0" applyNumberFormat="1" applyFont="1" applyFill="1" applyBorder="1" applyAlignment="1" applyProtection="1">
      <alignment horizontal="center" vertical="center"/>
      <protection locked="0"/>
    </xf>
    <xf numFmtId="164" fontId="17" fillId="3" borderId="1" xfId="0" applyNumberFormat="1" applyFont="1" applyFill="1" applyBorder="1" applyAlignment="1">
      <alignment horizontal="right" vertical="center" wrapText="1"/>
    </xf>
    <xf numFmtId="164" fontId="17" fillId="3" borderId="1" xfId="0" applyNumberFormat="1" applyFont="1" applyFill="1" applyBorder="1" applyAlignment="1">
      <alignment horizontal="right"/>
    </xf>
    <xf numFmtId="0" fontId="18" fillId="0" borderId="0" xfId="0" applyFont="1" applyAlignment="1">
      <alignment horizontal="center"/>
    </xf>
    <xf numFmtId="0" fontId="18" fillId="0" borderId="1" xfId="0" applyFont="1" applyBorder="1" applyAlignment="1"/>
    <xf numFmtId="0" fontId="18" fillId="0" borderId="0" xfId="0" applyFont="1" applyAlignment="1"/>
    <xf numFmtId="164" fontId="18" fillId="0" borderId="1" xfId="0" applyNumberFormat="1" applyFont="1" applyBorder="1" applyAlignment="1">
      <alignment horizontal="right"/>
    </xf>
    <xf numFmtId="4" fontId="18" fillId="0" borderId="0" xfId="0" applyNumberFormat="1" applyFont="1"/>
    <xf numFmtId="0" fontId="17" fillId="3" borderId="0" xfId="0" applyFont="1" applyFill="1" applyAlignment="1">
      <alignment horizontal="left" vertical="center" wrapText="1"/>
    </xf>
    <xf numFmtId="0" fontId="18" fillId="0" borderId="1" xfId="0" applyFont="1" applyBorder="1" applyAlignment="1">
      <alignment horizontal="center"/>
    </xf>
    <xf numFmtId="166" fontId="18" fillId="0" borderId="1" xfId="0" applyNumberFormat="1" applyFont="1" applyBorder="1" applyAlignment="1">
      <alignment horizontal="center"/>
    </xf>
    <xf numFmtId="4" fontId="18" fillId="0" borderId="1" xfId="0" applyNumberFormat="1" applyFont="1" applyBorder="1" applyAlignment="1">
      <alignment horizontal="center"/>
    </xf>
    <xf numFmtId="4" fontId="17" fillId="0" borderId="1" xfId="0" applyNumberFormat="1" applyFont="1" applyBorder="1"/>
    <xf numFmtId="164" fontId="17" fillId="3" borderId="7" xfId="0" applyNumberFormat="1" applyFont="1" applyFill="1" applyBorder="1" applyAlignment="1">
      <alignment horizontal="center" vertical="center" wrapText="1"/>
    </xf>
    <xf numFmtId="164" fontId="17" fillId="3" borderId="7" xfId="0" applyNumberFormat="1" applyFont="1" applyFill="1" applyBorder="1" applyAlignment="1">
      <alignment horizontal="center"/>
    </xf>
    <xf numFmtId="0" fontId="18" fillId="0" borderId="7" xfId="0" applyFont="1" applyBorder="1" applyAlignment="1">
      <alignment horizontal="center"/>
    </xf>
    <xf numFmtId="4" fontId="18" fillId="0" borderId="7" xfId="0" applyNumberFormat="1" applyFont="1" applyBorder="1" applyAlignment="1">
      <alignment horizontal="center"/>
    </xf>
    <xf numFmtId="0" fontId="18" fillId="0" borderId="7" xfId="0" applyFont="1" applyBorder="1" applyAlignment="1">
      <alignment vertical="center"/>
    </xf>
    <xf numFmtId="0" fontId="17" fillId="3" borderId="8" xfId="0" applyFont="1" applyFill="1" applyBorder="1" applyAlignment="1">
      <alignment horizontal="left" vertical="center" wrapText="1"/>
    </xf>
    <xf numFmtId="3" fontId="18" fillId="10" borderId="1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Alignment="1"/>
    <xf numFmtId="0" fontId="6" fillId="0" borderId="0" xfId="0" applyFont="1" applyAlignment="1"/>
    <xf numFmtId="0" fontId="19" fillId="0" borderId="0" xfId="0" applyFont="1" applyAlignment="1"/>
    <xf numFmtId="0" fontId="4" fillId="3" borderId="0" xfId="0" applyFont="1" applyFill="1" applyAlignment="1"/>
    <xf numFmtId="0" fontId="6" fillId="3" borderId="0" xfId="0" applyFont="1" applyFill="1" applyAlignment="1"/>
    <xf numFmtId="0" fontId="0" fillId="0" borderId="0" xfId="0" applyFont="1" applyAlignment="1"/>
    <xf numFmtId="0" fontId="9" fillId="0" borderId="0" xfId="0" applyFont="1" applyAlignment="1"/>
    <xf numFmtId="0" fontId="16" fillId="0" borderId="0" xfId="0" applyFont="1" applyAlignment="1"/>
    <xf numFmtId="0" fontId="0" fillId="0" borderId="0" xfId="0" applyFont="1" applyAlignment="1"/>
    <xf numFmtId="0" fontId="10" fillId="9" borderId="1" xfId="0" applyFont="1" applyFill="1" applyBorder="1" applyAlignment="1">
      <alignment horizontal="center" vertical="center"/>
    </xf>
    <xf numFmtId="0" fontId="18" fillId="7" borderId="8" xfId="0" applyFont="1" applyFill="1" applyBorder="1" applyAlignment="1" applyProtection="1">
      <alignment vertical="center" wrapText="1"/>
      <protection locked="0"/>
    </xf>
    <xf numFmtId="0" fontId="1" fillId="2" borderId="0" xfId="0" applyFont="1" applyFill="1" applyAlignment="1">
      <alignment vertical="center"/>
    </xf>
    <xf numFmtId="0" fontId="0" fillId="0" borderId="0" xfId="0" applyFont="1" applyAlignment="1"/>
    <xf numFmtId="0" fontId="14" fillId="2" borderId="0" xfId="0" applyFont="1" applyFill="1" applyAlignment="1">
      <alignment vertical="center"/>
    </xf>
    <xf numFmtId="0" fontId="9" fillId="0" borderId="0" xfId="0" applyFont="1" applyAlignment="1"/>
    <xf numFmtId="164" fontId="18" fillId="7" borderId="2" xfId="0" applyNumberFormat="1" applyFont="1" applyFill="1" applyBorder="1" applyAlignment="1" applyProtection="1">
      <alignment horizontal="left" vertical="center"/>
      <protection locked="0"/>
    </xf>
    <xf numFmtId="0" fontId="18" fillId="0" borderId="3" xfId="0" applyFont="1" applyBorder="1" applyProtection="1">
      <protection locked="0"/>
    </xf>
    <xf numFmtId="0" fontId="18" fillId="0" borderId="4" xfId="0" applyFont="1" applyBorder="1" applyProtection="1">
      <protection locked="0"/>
    </xf>
    <xf numFmtId="0" fontId="17" fillId="8" borderId="7" xfId="0" applyFont="1" applyFill="1" applyBorder="1" applyAlignment="1">
      <alignment vertical="center" wrapText="1"/>
    </xf>
    <xf numFmtId="0" fontId="17" fillId="8" borderId="7" xfId="0" applyFont="1" applyFill="1" applyBorder="1" applyAlignment="1">
      <alignment vertical="center"/>
    </xf>
    <xf numFmtId="0" fontId="14" fillId="2" borderId="0" xfId="0" applyFont="1" applyFill="1" applyAlignment="1">
      <alignment horizontal="left" vertical="center" wrapText="1"/>
    </xf>
    <xf numFmtId="0" fontId="15" fillId="0" borderId="0" xfId="0" applyFont="1" applyAlignment="1"/>
    <xf numFmtId="0" fontId="4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164" fontId="17" fillId="7" borderId="9" xfId="0" applyNumberFormat="1" applyFont="1" applyFill="1" applyBorder="1" applyAlignment="1" applyProtection="1">
      <alignment horizontal="center" vertical="center" wrapText="1"/>
      <protection locked="0"/>
    </xf>
    <xf numFmtId="164" fontId="17" fillId="7" borderId="10" xfId="0" applyNumberFormat="1" applyFont="1" applyFill="1" applyBorder="1" applyAlignment="1" applyProtection="1">
      <alignment horizontal="center" vertical="center" wrapText="1"/>
      <protection locked="0"/>
    </xf>
    <xf numFmtId="0" fontId="17" fillId="0" borderId="7" xfId="0" applyFont="1" applyBorder="1" applyAlignment="1">
      <alignment horizontal="center"/>
    </xf>
    <xf numFmtId="0" fontId="17" fillId="3" borderId="7" xfId="0" applyFont="1" applyFill="1" applyBorder="1" applyAlignment="1">
      <alignment horizontal="left" vertical="center" wrapText="1"/>
    </xf>
    <xf numFmtId="0" fontId="17" fillId="0" borderId="7" xfId="0" applyFont="1" applyBorder="1" applyAlignment="1">
      <alignment horizontal="left"/>
    </xf>
    <xf numFmtId="0" fontId="17" fillId="0" borderId="7" xfId="0" applyFont="1" applyBorder="1" applyAlignment="1"/>
    <xf numFmtId="0" fontId="17" fillId="8" borderId="7" xfId="0" applyFont="1" applyFill="1" applyBorder="1" applyAlignment="1">
      <alignment horizontal="center" vertical="center"/>
    </xf>
    <xf numFmtId="0" fontId="19" fillId="0" borderId="0" xfId="0" applyFont="1" applyAlignment="1"/>
  </cellXfs>
  <cellStyles count="1">
    <cellStyle name="Normal" xfId="0" builtinId="0"/>
  </cellStyles>
  <dxfs count="22">
    <dxf>
      <font>
        <b/>
        <color rgb="FFFFFFFF"/>
      </font>
      <fill>
        <patternFill patternType="solid">
          <fgColor rgb="FF980000"/>
          <bgColor rgb="FF980000"/>
        </patternFill>
      </fill>
    </dxf>
    <dxf>
      <font>
        <b/>
        <color rgb="FFFFFFFF"/>
      </font>
      <fill>
        <patternFill patternType="solid">
          <fgColor rgb="FF0B8043"/>
          <bgColor rgb="FF0B8043"/>
        </patternFill>
      </fill>
    </dxf>
    <dxf>
      <fill>
        <patternFill patternType="solid">
          <fgColor rgb="FFB7E1CD"/>
          <bgColor rgb="FFB7E1CD"/>
        </patternFill>
      </fill>
    </dxf>
    <dxf>
      <font>
        <b/>
        <color rgb="FFFFFFFF"/>
      </font>
      <fill>
        <patternFill patternType="solid">
          <fgColor rgb="FF0B8043"/>
          <bgColor rgb="FF0B8043"/>
        </patternFill>
      </fill>
    </dxf>
    <dxf>
      <font>
        <b/>
        <color rgb="FFFFFFFF"/>
      </font>
      <fill>
        <patternFill patternType="solid">
          <fgColor rgb="FF0B8043"/>
          <bgColor rgb="FF0B8043"/>
        </patternFill>
      </fill>
    </dxf>
    <dxf>
      <fill>
        <patternFill patternType="solid">
          <fgColor rgb="FFF4CCCC"/>
          <bgColor rgb="FFF4CCCC"/>
        </patternFill>
      </fill>
    </dxf>
    <dxf>
      <font>
        <b/>
        <color rgb="FFFFFFFF"/>
      </font>
      <fill>
        <patternFill patternType="solid">
          <fgColor rgb="FF980000"/>
          <bgColor rgb="FF980000"/>
        </patternFill>
      </fill>
    </dxf>
    <dxf>
      <font>
        <b/>
        <color rgb="FFFFFFFF"/>
      </font>
      <fill>
        <patternFill patternType="solid">
          <fgColor rgb="FF0B8043"/>
          <bgColor rgb="FF0B8043"/>
        </patternFill>
      </fill>
    </dxf>
    <dxf>
      <font>
        <b/>
        <color rgb="FFFFFFFF"/>
      </font>
      <fill>
        <patternFill patternType="solid">
          <fgColor rgb="FF980000"/>
          <bgColor rgb="FF980000"/>
        </patternFill>
      </fill>
    </dxf>
    <dxf>
      <font>
        <b/>
        <color rgb="FFFFFFFF"/>
      </font>
      <fill>
        <patternFill patternType="solid">
          <fgColor rgb="FF0B8043"/>
          <bgColor rgb="FF0B8043"/>
        </patternFill>
      </fill>
    </dxf>
    <dxf>
      <fill>
        <patternFill patternType="solid">
          <fgColor rgb="FFB7E1CD"/>
          <bgColor rgb="FFB7E1CD"/>
        </patternFill>
      </fill>
    </dxf>
    <dxf>
      <font>
        <b/>
        <color rgb="FFFFFFFF"/>
      </font>
      <fill>
        <patternFill patternType="solid">
          <fgColor rgb="FF980000"/>
          <bgColor rgb="FF980000"/>
        </patternFill>
      </fill>
    </dxf>
    <dxf>
      <font>
        <b/>
        <color rgb="FFFFFFFF"/>
      </font>
      <fill>
        <patternFill patternType="solid">
          <fgColor rgb="FF0B8043"/>
          <bgColor rgb="FF0B8043"/>
        </patternFill>
      </fill>
    </dxf>
    <dxf>
      <fill>
        <patternFill patternType="solid">
          <fgColor rgb="FFB7E1CD"/>
          <bgColor rgb="FFB7E1CD"/>
        </patternFill>
      </fill>
    </dxf>
    <dxf>
      <font>
        <b/>
        <color rgb="FFFFFFFF"/>
      </font>
      <fill>
        <patternFill patternType="solid">
          <fgColor rgb="FF0B8043"/>
          <bgColor rgb="FF0B8043"/>
        </patternFill>
      </fill>
    </dxf>
    <dxf>
      <font>
        <b/>
        <color rgb="FFFFFFFF"/>
      </font>
      <fill>
        <patternFill patternType="solid">
          <fgColor rgb="FF0B8043"/>
          <bgColor rgb="FF0B8043"/>
        </patternFill>
      </fill>
    </dxf>
    <dxf>
      <fill>
        <patternFill patternType="solid">
          <fgColor rgb="FFF4CCCC"/>
          <bgColor rgb="FFF4CCCC"/>
        </patternFill>
      </fill>
    </dxf>
    <dxf>
      <font>
        <b/>
        <color rgb="FFFFFFFF"/>
      </font>
      <fill>
        <patternFill patternType="solid">
          <fgColor rgb="FF980000"/>
          <bgColor rgb="FF980000"/>
        </patternFill>
      </fill>
    </dxf>
    <dxf>
      <font>
        <b/>
        <color rgb="FFFFFFFF"/>
      </font>
      <fill>
        <patternFill patternType="solid">
          <fgColor rgb="FF0B8043"/>
          <bgColor rgb="FF0B8043"/>
        </patternFill>
      </fill>
    </dxf>
    <dxf>
      <font>
        <b/>
        <color rgb="FFFFFFFF"/>
      </font>
      <fill>
        <patternFill patternType="solid">
          <fgColor rgb="FF980000"/>
          <bgColor rgb="FF980000"/>
        </patternFill>
      </fill>
    </dxf>
    <dxf>
      <font>
        <b/>
        <color rgb="FFFFFFFF"/>
      </font>
      <fill>
        <patternFill patternType="solid">
          <fgColor rgb="FF0B8043"/>
          <bgColor rgb="FF0B8043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444954</xdr:colOff>
      <xdr:row>2</xdr:row>
      <xdr:rowOff>3155</xdr:rowOff>
    </xdr:from>
    <xdr:to>
      <xdr:col>5</xdr:col>
      <xdr:colOff>1143000</xdr:colOff>
      <xdr:row>11</xdr:row>
      <xdr:rowOff>200579</xdr:rowOff>
    </xdr:to>
    <xdr:pic>
      <xdr:nvPicPr>
        <xdr:cNvPr id="4" name="Imagem 3">
          <a:extLst>
            <a:ext uri="{FF2B5EF4-FFF2-40B4-BE49-F238E27FC236}">
              <a16:creationId xmlns="" xmlns:a16="http://schemas.microsoft.com/office/drawing/2014/main" id="{27F19881-2C7C-4ED1-AFCC-CCA2AB5619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83267" y="384155"/>
          <a:ext cx="7651296" cy="238817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1319893</xdr:colOff>
      <xdr:row>0</xdr:row>
      <xdr:rowOff>0</xdr:rowOff>
    </xdr:from>
    <xdr:to>
      <xdr:col>5</xdr:col>
      <xdr:colOff>1074964</xdr:colOff>
      <xdr:row>0</xdr:row>
      <xdr:rowOff>1115786</xdr:rowOff>
    </xdr:to>
    <xdr:pic>
      <xdr:nvPicPr>
        <xdr:cNvPr id="4" name="Imagem 3">
          <a:extLst>
            <a:ext uri="{FF2B5EF4-FFF2-40B4-BE49-F238E27FC236}">
              <a16:creationId xmlns="" xmlns:a16="http://schemas.microsoft.com/office/drawing/2014/main" id="{F9281399-D1FA-42F2-819F-29956F5A314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449" t="6412" r="5326" b="16326"/>
        <a:stretch/>
      </xdr:blipFill>
      <xdr:spPr>
        <a:xfrm>
          <a:off x="3252107" y="0"/>
          <a:ext cx="3918857" cy="111578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1251856</xdr:colOff>
      <xdr:row>0</xdr:row>
      <xdr:rowOff>0</xdr:rowOff>
    </xdr:from>
    <xdr:to>
      <xdr:col>5</xdr:col>
      <xdr:colOff>1006927</xdr:colOff>
      <xdr:row>0</xdr:row>
      <xdr:rowOff>1115786</xdr:rowOff>
    </xdr:to>
    <xdr:pic>
      <xdr:nvPicPr>
        <xdr:cNvPr id="3" name="Imagem 2">
          <a:extLst>
            <a:ext uri="{FF2B5EF4-FFF2-40B4-BE49-F238E27FC236}">
              <a16:creationId xmlns="" xmlns:a16="http://schemas.microsoft.com/office/drawing/2014/main" id="{DCDD8CA9-596A-4DFA-95A2-E6955234147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449" t="6412" r="5326" b="16326"/>
        <a:stretch/>
      </xdr:blipFill>
      <xdr:spPr>
        <a:xfrm>
          <a:off x="3184070" y="0"/>
          <a:ext cx="3918857" cy="11157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outlinePr summaryBelow="0" summaryRight="0"/>
    <pageSetUpPr fitToPage="1"/>
  </sheetPr>
  <dimension ref="A11:G39"/>
  <sheetViews>
    <sheetView showGridLines="0" tabSelected="1" topLeftCell="A10" zoomScale="85" zoomScaleNormal="85" workbookViewId="0">
      <selection activeCell="E14" sqref="E14"/>
    </sheetView>
  </sheetViews>
  <sheetFormatPr defaultColWidth="14.42578125" defaultRowHeight="15.75" customHeight="1" x14ac:dyDescent="0.2"/>
  <cols>
    <col min="1" max="5" width="26" style="79" customWidth="1"/>
    <col min="6" max="6" width="29.5703125" style="79" customWidth="1"/>
    <col min="7" max="7" width="21.5703125" style="79" customWidth="1"/>
    <col min="8" max="16384" width="14.42578125" style="79"/>
  </cols>
  <sheetData>
    <row r="11" spans="1:7" ht="52.5" customHeight="1" x14ac:dyDescent="0.2"/>
    <row r="12" spans="1:7" ht="55.5" customHeight="1" x14ac:dyDescent="0.2"/>
    <row r="13" spans="1:7" ht="18" x14ac:dyDescent="0.25">
      <c r="A13" s="1" t="s">
        <v>116</v>
      </c>
      <c r="B13" s="2"/>
      <c r="C13" s="3"/>
      <c r="D13" s="3"/>
      <c r="E13" s="85" t="s">
        <v>121</v>
      </c>
      <c r="F13" s="86"/>
      <c r="G13" s="3"/>
    </row>
    <row r="14" spans="1:7" ht="54" x14ac:dyDescent="0.2">
      <c r="A14" s="4" t="s">
        <v>0</v>
      </c>
      <c r="B14" s="5" t="s">
        <v>113</v>
      </c>
      <c r="C14" s="5" t="s">
        <v>114</v>
      </c>
      <c r="D14" s="6" t="s">
        <v>2</v>
      </c>
      <c r="E14" s="32" t="s">
        <v>96</v>
      </c>
      <c r="F14" s="7" t="s">
        <v>3</v>
      </c>
      <c r="G14" s="8" t="s">
        <v>4</v>
      </c>
    </row>
    <row r="15" spans="1:7" ht="18" x14ac:dyDescent="0.25">
      <c r="A15" s="9" t="s">
        <v>5</v>
      </c>
      <c r="B15" s="33">
        <v>205815</v>
      </c>
      <c r="C15" s="33">
        <v>33615</v>
      </c>
      <c r="D15" s="34">
        <v>172200</v>
      </c>
      <c r="E15" s="35">
        <f>D15*3.5%+3000</f>
        <v>9027</v>
      </c>
      <c r="F15" s="10">
        <f>D15-E15-G15</f>
        <v>163073</v>
      </c>
      <c r="G15" s="10">
        <v>100</v>
      </c>
    </row>
    <row r="16" spans="1:7" ht="18" x14ac:dyDescent="0.25">
      <c r="A16" s="9" t="s">
        <v>6</v>
      </c>
      <c r="B16" s="33">
        <v>207154</v>
      </c>
      <c r="C16" s="33">
        <v>26704</v>
      </c>
      <c r="D16" s="34">
        <v>180450</v>
      </c>
      <c r="E16" s="35">
        <f t="shared" ref="E16:E19" si="0">D16*3.5%+3000</f>
        <v>9315.75</v>
      </c>
      <c r="F16" s="10">
        <f t="shared" ref="F16:F19" si="1">D16-E16-G16</f>
        <v>171034.25</v>
      </c>
      <c r="G16" s="10">
        <v>100</v>
      </c>
    </row>
    <row r="17" spans="1:7" ht="18" x14ac:dyDescent="0.25">
      <c r="A17" s="9" t="s">
        <v>7</v>
      </c>
      <c r="B17" s="33">
        <v>208265</v>
      </c>
      <c r="C17" s="33">
        <v>26065</v>
      </c>
      <c r="D17" s="34">
        <v>182200</v>
      </c>
      <c r="E17" s="35">
        <f t="shared" si="0"/>
        <v>9377</v>
      </c>
      <c r="F17" s="10">
        <f t="shared" si="1"/>
        <v>172723</v>
      </c>
      <c r="G17" s="10">
        <v>100</v>
      </c>
    </row>
    <row r="18" spans="1:7" ht="18" x14ac:dyDescent="0.25">
      <c r="A18" s="9" t="s">
        <v>8</v>
      </c>
      <c r="B18" s="33">
        <v>208204</v>
      </c>
      <c r="C18" s="33">
        <v>27754</v>
      </c>
      <c r="D18" s="34">
        <v>180450</v>
      </c>
      <c r="E18" s="35">
        <f t="shared" si="0"/>
        <v>9315.75</v>
      </c>
      <c r="F18" s="10">
        <f t="shared" si="1"/>
        <v>171034.25</v>
      </c>
      <c r="G18" s="10">
        <v>100</v>
      </c>
    </row>
    <row r="19" spans="1:7" ht="18" x14ac:dyDescent="0.25">
      <c r="A19" s="9" t="s">
        <v>9</v>
      </c>
      <c r="B19" s="33">
        <v>206988</v>
      </c>
      <c r="C19" s="33">
        <v>31288</v>
      </c>
      <c r="D19" s="34">
        <v>175700</v>
      </c>
      <c r="E19" s="35">
        <f t="shared" si="0"/>
        <v>9149.5</v>
      </c>
      <c r="F19" s="10">
        <f t="shared" si="1"/>
        <v>166450.5</v>
      </c>
      <c r="G19" s="10">
        <v>100</v>
      </c>
    </row>
    <row r="20" spans="1:7" ht="45" customHeight="1" x14ac:dyDescent="0.2"/>
    <row r="21" spans="1:7" ht="18" x14ac:dyDescent="0.25">
      <c r="A21" s="74" t="s">
        <v>106</v>
      </c>
      <c r="B21" s="11"/>
    </row>
    <row r="22" spans="1:7" ht="18" x14ac:dyDescent="0.25">
      <c r="A22" s="74" t="s">
        <v>107</v>
      </c>
      <c r="B22" s="11"/>
    </row>
    <row r="23" spans="1:7" ht="18" x14ac:dyDescent="0.25">
      <c r="A23" s="74"/>
      <c r="B23" s="11"/>
    </row>
    <row r="24" spans="1:7" ht="18" x14ac:dyDescent="0.25">
      <c r="A24" s="74" t="s">
        <v>111</v>
      </c>
      <c r="B24" s="11"/>
    </row>
    <row r="25" spans="1:7" ht="18" x14ac:dyDescent="0.25">
      <c r="A25" s="75" t="s">
        <v>110</v>
      </c>
      <c r="B25" s="11"/>
    </row>
    <row r="26" spans="1:7" ht="18" x14ac:dyDescent="0.25">
      <c r="A26" s="74" t="s">
        <v>108</v>
      </c>
      <c r="B26" s="11"/>
    </row>
    <row r="27" spans="1:7" ht="18" x14ac:dyDescent="0.25">
      <c r="A27" s="74"/>
      <c r="B27" s="11"/>
    </row>
    <row r="28" spans="1:7" ht="18" x14ac:dyDescent="0.25">
      <c r="A28" s="74" t="s">
        <v>109</v>
      </c>
      <c r="B28" s="11"/>
    </row>
    <row r="29" spans="1:7" ht="18" x14ac:dyDescent="0.25">
      <c r="A29" s="76"/>
      <c r="F29" s="12"/>
    </row>
    <row r="30" spans="1:7" ht="18" x14ac:dyDescent="0.25">
      <c r="A30" s="77" t="s">
        <v>10</v>
      </c>
      <c r="F30" s="12"/>
    </row>
    <row r="31" spans="1:7" ht="18" x14ac:dyDescent="0.25">
      <c r="A31" s="78" t="s">
        <v>11</v>
      </c>
      <c r="F31" s="12"/>
    </row>
    <row r="32" spans="1:7" ht="18" x14ac:dyDescent="0.25">
      <c r="A32" s="78" t="s">
        <v>12</v>
      </c>
    </row>
    <row r="33" spans="1:5" ht="18" x14ac:dyDescent="0.25">
      <c r="A33" s="78" t="s">
        <v>13</v>
      </c>
    </row>
    <row r="34" spans="1:5" ht="18" x14ac:dyDescent="0.25">
      <c r="A34" s="78" t="s">
        <v>14</v>
      </c>
    </row>
    <row r="35" spans="1:5" ht="18" x14ac:dyDescent="0.25">
      <c r="A35" s="78" t="s">
        <v>15</v>
      </c>
    </row>
    <row r="36" spans="1:5" ht="18" x14ac:dyDescent="0.25">
      <c r="A36" s="78" t="s">
        <v>16</v>
      </c>
    </row>
    <row r="37" spans="1:5" s="82" customFormat="1" ht="18" x14ac:dyDescent="0.25">
      <c r="A37" s="78" t="s">
        <v>117</v>
      </c>
    </row>
    <row r="38" spans="1:5" ht="15.75" customHeight="1" x14ac:dyDescent="0.25">
      <c r="A38" s="76"/>
    </row>
    <row r="39" spans="1:5" ht="18" x14ac:dyDescent="0.25">
      <c r="A39" s="77" t="s">
        <v>17</v>
      </c>
      <c r="C39" s="75" t="s">
        <v>112</v>
      </c>
      <c r="D39" s="76"/>
      <c r="E39" s="76"/>
    </row>
  </sheetData>
  <mergeCells count="1">
    <mergeCell ref="E13:F13"/>
  </mergeCells>
  <printOptions horizontalCentered="1" verticalCentered="1" gridLines="1"/>
  <pageMargins left="0.7" right="0.7" top="0.75" bottom="0.75" header="0" footer="0"/>
  <pageSetup paperSize="9" scale="62" pageOrder="overThenDown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outlinePr summaryBelow="0" summaryRight="0"/>
    <pageSetUpPr fitToPage="1"/>
  </sheetPr>
  <dimension ref="A1:M100"/>
  <sheetViews>
    <sheetView showGridLines="0" topLeftCell="A101" zoomScale="85" zoomScaleNormal="85" workbookViewId="0">
      <selection activeCell="A100" sqref="A78:XFD100"/>
    </sheetView>
  </sheetViews>
  <sheetFormatPr defaultColWidth="14.42578125" defaultRowHeight="15.75" customHeight="1" x14ac:dyDescent="0.2"/>
  <cols>
    <col min="1" max="1" width="4.85546875" style="80" customWidth="1"/>
    <col min="2" max="2" width="24" style="80" customWidth="1"/>
    <col min="3" max="5" width="20.7109375" style="80" customWidth="1"/>
    <col min="6" max="8" width="18.42578125" style="80" customWidth="1"/>
    <col min="9" max="9" width="20.28515625" style="80" customWidth="1"/>
    <col min="10" max="16384" width="14.42578125" style="80"/>
  </cols>
  <sheetData>
    <row r="1" spans="1:12" ht="96.75" customHeight="1" x14ac:dyDescent="0.2">
      <c r="A1" s="81"/>
      <c r="B1" s="96" t="s">
        <v>18</v>
      </c>
      <c r="C1" s="97"/>
      <c r="D1" s="97"/>
      <c r="E1" s="81"/>
      <c r="F1" s="81"/>
      <c r="G1" s="81"/>
      <c r="H1" s="81"/>
    </row>
    <row r="2" spans="1:12" ht="9" customHeight="1" x14ac:dyDescent="0.2">
      <c r="A2" s="81"/>
      <c r="B2" s="81"/>
      <c r="C2" s="81"/>
      <c r="D2" s="81"/>
      <c r="E2" s="81"/>
      <c r="F2" s="81"/>
      <c r="G2" s="81"/>
      <c r="H2" s="81"/>
    </row>
    <row r="3" spans="1:12" ht="36" customHeight="1" x14ac:dyDescent="0.2">
      <c r="A3" s="81"/>
      <c r="B3" s="37" t="s">
        <v>19</v>
      </c>
      <c r="C3" s="84"/>
      <c r="D3" s="37" t="s">
        <v>20</v>
      </c>
      <c r="E3" s="84"/>
      <c r="F3" s="72" t="s">
        <v>21</v>
      </c>
      <c r="G3" s="98"/>
      <c r="H3" s="99"/>
    </row>
    <row r="4" spans="1:12" ht="15.75" customHeight="1" x14ac:dyDescent="0.2">
      <c r="A4" s="81"/>
      <c r="B4" s="81"/>
      <c r="C4" s="81"/>
      <c r="D4" s="81"/>
      <c r="E4" s="81"/>
      <c r="F4" s="81"/>
      <c r="G4" s="81"/>
      <c r="H4" s="81"/>
    </row>
    <row r="5" spans="1:12" ht="34.5" customHeight="1" x14ac:dyDescent="0.2">
      <c r="A5" s="81"/>
      <c r="B5" s="72" t="s">
        <v>22</v>
      </c>
      <c r="C5" s="84"/>
      <c r="D5" s="72" t="s">
        <v>23</v>
      </c>
      <c r="E5" s="84"/>
      <c r="F5" s="72" t="s">
        <v>118</v>
      </c>
      <c r="G5" s="84"/>
      <c r="H5" s="72" t="s">
        <v>119</v>
      </c>
      <c r="I5" s="84"/>
    </row>
    <row r="6" spans="1:12" ht="34.5" customHeight="1" x14ac:dyDescent="0.2">
      <c r="A6" s="81"/>
      <c r="B6" s="72" t="s">
        <v>24</v>
      </c>
      <c r="C6" s="84"/>
      <c r="D6" s="72" t="s">
        <v>23</v>
      </c>
      <c r="E6" s="84"/>
      <c r="F6" s="72" t="s">
        <v>118</v>
      </c>
      <c r="G6" s="84"/>
      <c r="H6" s="72" t="s">
        <v>119</v>
      </c>
      <c r="I6" s="84"/>
    </row>
    <row r="7" spans="1:12" ht="14.25" x14ac:dyDescent="0.2">
      <c r="A7" s="81"/>
      <c r="B7" s="39"/>
      <c r="C7" s="39"/>
      <c r="D7" s="39"/>
      <c r="E7" s="39"/>
      <c r="F7" s="39"/>
      <c r="G7" s="39"/>
      <c r="H7" s="39"/>
    </row>
    <row r="8" spans="1:12" ht="15" x14ac:dyDescent="0.25">
      <c r="A8" s="81"/>
      <c r="B8" s="37" t="s">
        <v>25</v>
      </c>
      <c r="C8" s="40">
        <v>1</v>
      </c>
      <c r="D8" s="39"/>
      <c r="E8" s="39"/>
    </row>
    <row r="9" spans="1:12" ht="15" x14ac:dyDescent="0.25">
      <c r="A9" s="81"/>
      <c r="B9" s="37" t="s">
        <v>26</v>
      </c>
      <c r="C9" s="40">
        <v>2</v>
      </c>
      <c r="D9" s="39"/>
      <c r="E9" s="39"/>
      <c r="F9" s="81"/>
      <c r="G9" s="81"/>
      <c r="H9" s="81"/>
    </row>
    <row r="10" spans="1:12" ht="15" x14ac:dyDescent="0.25">
      <c r="A10" s="81"/>
      <c r="B10" s="41" t="s">
        <v>0</v>
      </c>
      <c r="C10" s="42" t="s">
        <v>6</v>
      </c>
      <c r="D10" s="39"/>
      <c r="E10" s="81"/>
      <c r="F10" s="39"/>
      <c r="G10" s="100" t="s">
        <v>27</v>
      </c>
      <c r="H10" s="100"/>
      <c r="I10" s="100"/>
    </row>
    <row r="11" spans="1:12" ht="15" x14ac:dyDescent="0.2">
      <c r="A11" s="81"/>
      <c r="B11" s="41" t="s">
        <v>28</v>
      </c>
      <c r="C11" s="38">
        <v>3500</v>
      </c>
      <c r="D11" s="39"/>
      <c r="E11" s="39"/>
      <c r="F11" s="81"/>
      <c r="G11" s="101" t="s">
        <v>29</v>
      </c>
      <c r="H11" s="101"/>
      <c r="I11" s="67">
        <f>VLOOKUP($C$10,$B$96:$H$100,2,FALSE)</f>
        <v>207154</v>
      </c>
    </row>
    <row r="12" spans="1:12" ht="15" x14ac:dyDescent="0.25">
      <c r="A12" s="81"/>
      <c r="B12" s="81"/>
      <c r="C12" s="81"/>
      <c r="D12" s="39"/>
      <c r="E12" s="39"/>
      <c r="F12" s="81"/>
      <c r="G12" s="102" t="s">
        <v>30</v>
      </c>
      <c r="H12" s="102"/>
      <c r="I12" s="68">
        <f>SUM(C29,C30,C33,C34,C39,C45,C46)</f>
        <v>207154</v>
      </c>
    </row>
    <row r="13" spans="1:12" x14ac:dyDescent="0.25">
      <c r="A13" s="81"/>
      <c r="B13" s="43"/>
      <c r="C13" s="44" t="s">
        <v>31</v>
      </c>
      <c r="D13" s="45" t="s">
        <v>32</v>
      </c>
      <c r="E13" s="45" t="s">
        <v>33</v>
      </c>
      <c r="F13" s="46"/>
      <c r="G13" s="102" t="s">
        <v>34</v>
      </c>
      <c r="H13" s="102"/>
      <c r="I13" s="68">
        <f>I12-I11</f>
        <v>0</v>
      </c>
      <c r="J13" s="16"/>
      <c r="K13" s="16"/>
      <c r="L13" s="16"/>
    </row>
    <row r="14" spans="1:12" x14ac:dyDescent="0.25">
      <c r="A14" s="81"/>
      <c r="B14" s="47" t="s">
        <v>35</v>
      </c>
      <c r="C14" s="48">
        <f>3.5%*(I11-C29)</f>
        <v>6315.7500000000009</v>
      </c>
      <c r="D14" s="49">
        <v>2</v>
      </c>
      <c r="E14" s="48">
        <f>C14/D14</f>
        <v>3157.8750000000005</v>
      </c>
      <c r="F14" s="46"/>
      <c r="G14" s="103" t="s">
        <v>36</v>
      </c>
      <c r="H14" s="103"/>
      <c r="I14" s="69" t="str">
        <f>IF(C32&gt;=C83,"OK","REVER ATO")</f>
        <v>OK</v>
      </c>
      <c r="J14" s="16"/>
      <c r="K14" s="16"/>
      <c r="L14" s="16"/>
    </row>
    <row r="15" spans="1:12" x14ac:dyDescent="0.25">
      <c r="A15" s="81"/>
      <c r="B15" s="47" t="s">
        <v>37</v>
      </c>
      <c r="C15" s="50">
        <v>3000</v>
      </c>
      <c r="D15" s="51"/>
      <c r="E15" s="51"/>
      <c r="F15" s="46"/>
      <c r="G15" s="103" t="s">
        <v>39</v>
      </c>
      <c r="H15" s="103"/>
      <c r="I15" s="69" t="str">
        <f>IF(SUM(D40:D42)&gt;C92,"Rever prazos","OK")</f>
        <v>OK</v>
      </c>
      <c r="J15" s="16"/>
      <c r="K15" s="16"/>
      <c r="L15" s="16"/>
    </row>
    <row r="16" spans="1:12" x14ac:dyDescent="0.25">
      <c r="A16" s="81"/>
      <c r="B16" s="47" t="s">
        <v>38</v>
      </c>
      <c r="C16" s="50"/>
      <c r="D16" s="51"/>
      <c r="E16" s="52"/>
      <c r="F16" s="46"/>
      <c r="G16" s="103" t="s">
        <v>41</v>
      </c>
      <c r="H16" s="103"/>
      <c r="I16" s="69" t="str">
        <f>IF(E45&gt;C11,"Rever anuais","OK")</f>
        <v>OK</v>
      </c>
      <c r="J16" s="16"/>
      <c r="K16" s="16"/>
      <c r="L16" s="16"/>
    </row>
    <row r="17" spans="1:13" x14ac:dyDescent="0.25">
      <c r="A17" s="81"/>
      <c r="B17" s="47" t="s">
        <v>40</v>
      </c>
      <c r="C17" s="50"/>
      <c r="D17" s="51"/>
      <c r="E17" s="52"/>
      <c r="F17" s="46"/>
      <c r="G17" s="103" t="s">
        <v>102</v>
      </c>
      <c r="H17" s="103"/>
      <c r="I17" s="69" t="str">
        <f>IF(C46&gt;3%*(I11-C29),"Rever chaves","OK")</f>
        <v>OK</v>
      </c>
      <c r="J17" s="16"/>
      <c r="K17" s="16"/>
      <c r="L17" s="16"/>
    </row>
    <row r="18" spans="1:13" x14ac:dyDescent="0.25">
      <c r="A18" s="81"/>
      <c r="B18" s="47" t="s">
        <v>42</v>
      </c>
      <c r="C18" s="50"/>
      <c r="D18" s="51"/>
      <c r="E18" s="52"/>
      <c r="F18" s="81"/>
      <c r="G18" s="103" t="s">
        <v>43</v>
      </c>
      <c r="H18" s="103"/>
      <c r="I18" s="70" t="str">
        <f>IF(C35&gt;D85,CONCATENATE("Rever, o máximo é ",D85),"OK")</f>
        <v>OK</v>
      </c>
      <c r="J18" s="16"/>
      <c r="K18" s="16"/>
      <c r="L18" s="16"/>
      <c r="M18" s="16"/>
    </row>
    <row r="19" spans="1:13" x14ac:dyDescent="0.25">
      <c r="A19" s="81"/>
      <c r="B19" s="47" t="s">
        <v>44</v>
      </c>
      <c r="C19" s="50">
        <v>150000</v>
      </c>
      <c r="D19" s="51"/>
      <c r="E19" s="52"/>
      <c r="F19" s="81"/>
      <c r="G19" s="103" t="s">
        <v>45</v>
      </c>
      <c r="H19" s="103"/>
      <c r="I19" s="69" t="str">
        <f>IF(I16="Ok", IF(I12&lt;I11,"Falta",IF(I12&gt;I11,"Sobrou","OK")),"Rever tudo")</f>
        <v>OK</v>
      </c>
      <c r="J19" s="16"/>
      <c r="K19" s="16"/>
      <c r="L19" s="16"/>
      <c r="M19" s="16"/>
    </row>
    <row r="20" spans="1:13" x14ac:dyDescent="0.25">
      <c r="A20" s="81"/>
      <c r="B20" s="47" t="s">
        <v>46</v>
      </c>
      <c r="C20" s="50"/>
      <c r="D20" s="51"/>
      <c r="E20" s="52"/>
      <c r="F20" s="81"/>
      <c r="J20" s="16"/>
      <c r="K20" s="16"/>
      <c r="L20" s="16"/>
      <c r="M20" s="16"/>
    </row>
    <row r="21" spans="1:13" x14ac:dyDescent="0.25">
      <c r="A21" s="81"/>
      <c r="B21" s="47" t="s">
        <v>47</v>
      </c>
      <c r="C21" s="50"/>
      <c r="D21" s="51"/>
      <c r="E21" s="52"/>
      <c r="F21" s="81"/>
      <c r="G21" s="81"/>
      <c r="H21" s="81"/>
      <c r="J21" s="16"/>
      <c r="K21" s="16"/>
      <c r="L21" s="16"/>
      <c r="M21" s="16"/>
    </row>
    <row r="22" spans="1:13" x14ac:dyDescent="0.2">
      <c r="A22" s="81"/>
      <c r="B22" s="53" t="s">
        <v>48</v>
      </c>
      <c r="C22" s="54"/>
      <c r="D22" s="51"/>
      <c r="E22" s="52"/>
      <c r="F22" s="81"/>
      <c r="G22" s="104" t="s">
        <v>49</v>
      </c>
      <c r="H22" s="104"/>
      <c r="I22" s="104"/>
      <c r="J22" s="16"/>
      <c r="K22" s="16"/>
      <c r="L22" s="16"/>
      <c r="M22" s="16"/>
    </row>
    <row r="23" spans="1:13" ht="60" customHeight="1" x14ac:dyDescent="0.2">
      <c r="A23" s="81"/>
      <c r="B23" s="53" t="s">
        <v>50</v>
      </c>
      <c r="C23" s="89"/>
      <c r="D23" s="90"/>
      <c r="E23" s="91"/>
      <c r="F23" s="52"/>
      <c r="G23" s="93" t="s">
        <v>51</v>
      </c>
      <c r="H23" s="93"/>
      <c r="I23" s="71"/>
      <c r="J23" s="16"/>
      <c r="K23" s="16"/>
      <c r="L23" s="16"/>
      <c r="M23" s="16"/>
    </row>
    <row r="24" spans="1:13" ht="60" customHeight="1" x14ac:dyDescent="0.2">
      <c r="A24" s="81"/>
      <c r="B24" s="53" t="s">
        <v>52</v>
      </c>
      <c r="C24" s="89"/>
      <c r="D24" s="90"/>
      <c r="E24" s="91"/>
      <c r="F24" s="52"/>
      <c r="G24" s="92" t="s">
        <v>53</v>
      </c>
      <c r="H24" s="92"/>
      <c r="I24" s="71"/>
      <c r="J24" s="16"/>
      <c r="K24" s="16"/>
      <c r="L24" s="16"/>
      <c r="M24" s="16"/>
    </row>
    <row r="25" spans="1:13" ht="60" customHeight="1" x14ac:dyDescent="0.2">
      <c r="A25" s="81"/>
      <c r="B25" s="53" t="s">
        <v>54</v>
      </c>
      <c r="C25" s="89"/>
      <c r="D25" s="90"/>
      <c r="E25" s="91"/>
      <c r="F25" s="52"/>
      <c r="G25" s="92" t="s">
        <v>120</v>
      </c>
      <c r="H25" s="93"/>
      <c r="I25" s="71"/>
      <c r="J25" s="16"/>
      <c r="K25" s="16"/>
      <c r="L25" s="16"/>
      <c r="M25" s="16"/>
    </row>
    <row r="26" spans="1:13" x14ac:dyDescent="0.2">
      <c r="A26" s="81"/>
      <c r="B26" s="81"/>
      <c r="C26" s="81"/>
      <c r="D26" s="51"/>
      <c r="E26" s="52"/>
      <c r="F26" s="52"/>
      <c r="G26" s="81"/>
      <c r="H26" s="81"/>
      <c r="I26" s="16"/>
      <c r="J26" s="16"/>
      <c r="K26" s="16"/>
      <c r="L26" s="16"/>
      <c r="M26" s="16"/>
    </row>
    <row r="27" spans="1:13" x14ac:dyDescent="0.2">
      <c r="A27" s="81"/>
      <c r="B27" s="81"/>
      <c r="C27" s="81"/>
      <c r="D27" s="51"/>
      <c r="E27" s="52"/>
      <c r="F27" s="52"/>
      <c r="G27" s="81"/>
      <c r="H27" s="81"/>
      <c r="I27" s="16"/>
      <c r="J27" s="16"/>
      <c r="K27" s="16"/>
      <c r="L27" s="16"/>
      <c r="M27" s="16"/>
    </row>
    <row r="28" spans="1:13" x14ac:dyDescent="0.2">
      <c r="A28" s="81"/>
      <c r="B28" s="41" t="s">
        <v>55</v>
      </c>
      <c r="C28" s="44" t="s">
        <v>56</v>
      </c>
      <c r="D28" s="45" t="s">
        <v>32</v>
      </c>
      <c r="E28" s="45" t="s">
        <v>57</v>
      </c>
      <c r="F28" s="52"/>
      <c r="G28" s="52"/>
      <c r="H28" s="52"/>
      <c r="I28" s="16"/>
      <c r="J28" s="16"/>
      <c r="K28" s="16"/>
      <c r="L28" s="16"/>
      <c r="M28" s="16"/>
    </row>
    <row r="29" spans="1:13" x14ac:dyDescent="0.25">
      <c r="A29" s="81"/>
      <c r="B29" s="47" t="s">
        <v>115</v>
      </c>
      <c r="C29" s="55">
        <f>VLOOKUP($C$10,$B$96:$H$100,3,FALSE)</f>
        <v>26704</v>
      </c>
      <c r="D29" s="52"/>
      <c r="E29" s="52"/>
      <c r="F29" s="52"/>
      <c r="G29" s="52"/>
      <c r="H29" s="52"/>
      <c r="I29" s="16"/>
      <c r="J29" s="16"/>
      <c r="K29" s="16"/>
      <c r="L29" s="16"/>
      <c r="M29" s="16"/>
    </row>
    <row r="30" spans="1:13" ht="15" x14ac:dyDescent="0.25">
      <c r="A30" s="81"/>
      <c r="B30" s="47" t="s">
        <v>59</v>
      </c>
      <c r="C30" s="56">
        <f>SUM(C31:C32)</f>
        <v>9315.75</v>
      </c>
      <c r="D30" s="57"/>
      <c r="E30" s="57"/>
      <c r="F30" s="81"/>
      <c r="G30" s="81"/>
      <c r="H30" s="81"/>
    </row>
    <row r="31" spans="1:13" ht="14.25" x14ac:dyDescent="0.2">
      <c r="A31" s="81"/>
      <c r="B31" s="58" t="s">
        <v>60</v>
      </c>
      <c r="C31" s="48">
        <f>C14</f>
        <v>6315.7500000000009</v>
      </c>
      <c r="D31" s="57"/>
      <c r="E31" s="57"/>
      <c r="F31" s="81"/>
      <c r="G31" s="81"/>
      <c r="H31" s="81"/>
    </row>
    <row r="32" spans="1:13" ht="14.25" x14ac:dyDescent="0.2">
      <c r="A32" s="81"/>
      <c r="B32" s="58" t="s">
        <v>61</v>
      </c>
      <c r="C32" s="48">
        <f>SUM(C15:C18)</f>
        <v>3000</v>
      </c>
      <c r="D32" s="39"/>
      <c r="E32" s="39"/>
      <c r="F32" s="81"/>
      <c r="G32" s="81"/>
      <c r="H32" s="81"/>
    </row>
    <row r="33" spans="1:8" ht="15" x14ac:dyDescent="0.25">
      <c r="A33" s="81"/>
      <c r="B33" s="47" t="s">
        <v>62</v>
      </c>
      <c r="C33" s="56">
        <v>100</v>
      </c>
      <c r="D33" s="39"/>
      <c r="E33" s="39"/>
      <c r="F33" s="81"/>
      <c r="G33" s="81"/>
      <c r="H33" s="81"/>
    </row>
    <row r="34" spans="1:8" ht="15" x14ac:dyDescent="0.25">
      <c r="A34" s="81"/>
      <c r="B34" s="47" t="s">
        <v>63</v>
      </c>
      <c r="C34" s="56">
        <f>SUM(C35:C37)</f>
        <v>150000</v>
      </c>
      <c r="D34" s="39"/>
      <c r="E34" s="39"/>
      <c r="F34" s="81"/>
      <c r="G34" s="81"/>
      <c r="H34" s="81"/>
    </row>
    <row r="35" spans="1:8" ht="14.25" x14ac:dyDescent="0.2">
      <c r="A35" s="59"/>
      <c r="B35" s="58" t="s">
        <v>64</v>
      </c>
      <c r="C35" s="48">
        <f t="shared" ref="C35:C37" si="0">C19</f>
        <v>150000</v>
      </c>
      <c r="D35" s="39"/>
      <c r="E35" s="39"/>
      <c r="F35" s="81"/>
      <c r="G35" s="81"/>
      <c r="H35" s="81"/>
    </row>
    <row r="36" spans="1:8" ht="14.25" x14ac:dyDescent="0.2">
      <c r="A36" s="81"/>
      <c r="B36" s="58" t="s">
        <v>65</v>
      </c>
      <c r="C36" s="48">
        <f t="shared" si="0"/>
        <v>0</v>
      </c>
      <c r="D36" s="39"/>
      <c r="E36" s="39"/>
      <c r="F36" s="81"/>
      <c r="G36" s="81"/>
      <c r="H36" s="81"/>
    </row>
    <row r="37" spans="1:8" ht="14.25" x14ac:dyDescent="0.2">
      <c r="A37" s="81"/>
      <c r="B37" s="58" t="s">
        <v>66</v>
      </c>
      <c r="C37" s="48">
        <f t="shared" si="0"/>
        <v>0</v>
      </c>
      <c r="D37" s="39"/>
      <c r="E37" s="39"/>
      <c r="F37" s="81"/>
      <c r="G37" s="81"/>
      <c r="H37" s="81"/>
    </row>
    <row r="38" spans="1:8" ht="14.25" x14ac:dyDescent="0.2">
      <c r="A38" s="81"/>
      <c r="B38" s="58" t="s">
        <v>67</v>
      </c>
      <c r="C38" s="48">
        <f>(I11-C29)-C31-C32-C33-C34</f>
        <v>21034.25</v>
      </c>
      <c r="D38" s="57"/>
      <c r="E38" s="57"/>
      <c r="F38" s="81"/>
      <c r="G38" s="81"/>
      <c r="H38" s="81"/>
    </row>
    <row r="39" spans="1:8" ht="15" x14ac:dyDescent="0.25">
      <c r="A39" s="81"/>
      <c r="B39" s="47" t="s">
        <v>68</v>
      </c>
      <c r="C39" s="56">
        <f>IF(C38&gt;D39,D39,IF(C38&lt;0.01,0,C38))</f>
        <v>21000</v>
      </c>
      <c r="D39" s="60">
        <f>25%*C11*SUM(D40:D43)</f>
        <v>21000</v>
      </c>
      <c r="E39" s="49" t="s">
        <v>99</v>
      </c>
      <c r="F39" s="81"/>
      <c r="G39" s="81"/>
      <c r="H39" s="81"/>
    </row>
    <row r="40" spans="1:8" ht="15" x14ac:dyDescent="0.25">
      <c r="A40" s="81"/>
      <c r="B40" s="47" t="s">
        <v>69</v>
      </c>
      <c r="C40" s="48">
        <f>$C$39*C87</f>
        <v>7349.9999999999991</v>
      </c>
      <c r="D40" s="73">
        <v>6</v>
      </c>
      <c r="E40" s="48">
        <f>IF(D40=0,"",C40/D40)</f>
        <v>1224.9999999999998</v>
      </c>
      <c r="F40" s="81"/>
      <c r="G40" s="81"/>
      <c r="H40" s="81"/>
    </row>
    <row r="41" spans="1:8" ht="15" x14ac:dyDescent="0.25">
      <c r="A41" s="81"/>
      <c r="B41" s="47" t="s">
        <v>70</v>
      </c>
      <c r="C41" s="48">
        <f>$C$39*C88</f>
        <v>6300</v>
      </c>
      <c r="D41" s="49">
        <v>6</v>
      </c>
      <c r="E41" s="48">
        <f>IF(D41=0,"",C41/D41)</f>
        <v>1050</v>
      </c>
      <c r="F41" s="81"/>
      <c r="G41" s="81"/>
      <c r="H41" s="81"/>
    </row>
    <row r="42" spans="1:8" ht="15" x14ac:dyDescent="0.25">
      <c r="A42" s="81"/>
      <c r="B42" s="47" t="s">
        <v>71</v>
      </c>
      <c r="C42" s="48">
        <f>$C$39*C89</f>
        <v>4200</v>
      </c>
      <c r="D42" s="49">
        <v>6</v>
      </c>
      <c r="E42" s="48">
        <f t="shared" ref="E42:E43" si="1">IF(D42=0,"",C42/D42)</f>
        <v>700</v>
      </c>
      <c r="F42" s="81"/>
      <c r="G42" s="81"/>
      <c r="H42" s="81"/>
    </row>
    <row r="43" spans="1:8" ht="15" x14ac:dyDescent="0.25">
      <c r="A43" s="81"/>
      <c r="B43" s="47" t="s">
        <v>97</v>
      </c>
      <c r="C43" s="48">
        <f>$C$39*C90</f>
        <v>3150</v>
      </c>
      <c r="D43" s="49">
        <v>6</v>
      </c>
      <c r="E43" s="48">
        <f t="shared" si="1"/>
        <v>525</v>
      </c>
      <c r="F43" s="81"/>
      <c r="G43" s="81"/>
      <c r="H43" s="81"/>
    </row>
    <row r="44" spans="1:8" ht="14.25" x14ac:dyDescent="0.2">
      <c r="A44" s="81"/>
      <c r="B44" s="58" t="s">
        <v>67</v>
      </c>
      <c r="C44" s="48">
        <f>C38-C39</f>
        <v>34.25</v>
      </c>
      <c r="D44" s="57"/>
      <c r="E44" s="57"/>
      <c r="F44" s="81"/>
      <c r="G44" s="81"/>
      <c r="H44" s="81"/>
    </row>
    <row r="45" spans="1:8" ht="15" x14ac:dyDescent="0.25">
      <c r="A45" s="81"/>
      <c r="B45" s="47" t="s">
        <v>101</v>
      </c>
      <c r="C45" s="56">
        <f>IF(C38&gt;D39,IF((C38-D39)&gt;D45*C11,D45*C11,C38-D39),0)</f>
        <v>34.25</v>
      </c>
      <c r="D45" s="49">
        <v>2</v>
      </c>
      <c r="E45" s="48">
        <f>C45/D45</f>
        <v>17.125</v>
      </c>
      <c r="F45" s="81"/>
      <c r="G45" s="81"/>
      <c r="H45" s="81"/>
    </row>
    <row r="46" spans="1:8" ht="15" x14ac:dyDescent="0.25">
      <c r="A46" s="81"/>
      <c r="B46" s="47" t="s">
        <v>100</v>
      </c>
      <c r="C46" s="56">
        <f>IF(C45&lt;C44,C44-C45,0)</f>
        <v>0</v>
      </c>
      <c r="D46" s="81"/>
      <c r="E46" s="81"/>
      <c r="F46" s="81"/>
      <c r="G46" s="81"/>
      <c r="H46" s="81"/>
    </row>
    <row r="47" spans="1:8" ht="14.25" x14ac:dyDescent="0.2">
      <c r="A47" s="81"/>
      <c r="B47" s="59"/>
      <c r="C47" s="81"/>
      <c r="D47" s="81"/>
      <c r="E47" s="81"/>
      <c r="F47" s="81"/>
      <c r="G47" s="81"/>
      <c r="H47" s="81"/>
    </row>
    <row r="48" spans="1:8" ht="14.25" x14ac:dyDescent="0.2">
      <c r="A48" s="81"/>
      <c r="B48" s="59" t="s">
        <v>72</v>
      </c>
      <c r="C48" s="81"/>
      <c r="D48" s="81"/>
      <c r="E48" s="81"/>
      <c r="F48" s="81"/>
      <c r="G48" s="81"/>
      <c r="H48" s="81"/>
    </row>
    <row r="49" spans="1:9" ht="14.25" x14ac:dyDescent="0.2">
      <c r="A49" s="81"/>
      <c r="B49" s="59" t="s">
        <v>73</v>
      </c>
      <c r="C49" s="61"/>
      <c r="D49" s="61"/>
      <c r="E49" s="61"/>
      <c r="F49" s="61"/>
      <c r="G49" s="81"/>
      <c r="H49" s="81"/>
    </row>
    <row r="50" spans="1:9" ht="15" x14ac:dyDescent="0.2">
      <c r="A50" s="81"/>
      <c r="B50" s="62"/>
      <c r="C50" s="62"/>
      <c r="D50" s="62"/>
      <c r="E50" s="62"/>
      <c r="F50" s="62"/>
      <c r="G50" s="62"/>
      <c r="H50" s="81"/>
    </row>
    <row r="51" spans="1:9" ht="15" x14ac:dyDescent="0.2">
      <c r="A51" s="81"/>
      <c r="B51" s="44" t="s">
        <v>74</v>
      </c>
      <c r="C51" s="44" t="s">
        <v>75</v>
      </c>
      <c r="D51" s="44" t="s">
        <v>76</v>
      </c>
      <c r="E51" s="44" t="s">
        <v>77</v>
      </c>
      <c r="F51" s="44" t="s">
        <v>103</v>
      </c>
      <c r="G51" s="44" t="s">
        <v>104</v>
      </c>
      <c r="H51" s="44" t="s">
        <v>105</v>
      </c>
      <c r="I51" s="44" t="s">
        <v>31</v>
      </c>
    </row>
    <row r="52" spans="1:9" ht="15" x14ac:dyDescent="0.25">
      <c r="A52" s="63">
        <v>1</v>
      </c>
      <c r="B52" s="64">
        <v>43983</v>
      </c>
      <c r="C52" s="65">
        <f t="shared" ref="C52:C76" si="2">IF(A52&lt;=$D$14,E$14,0)</f>
        <v>3157.8750000000005</v>
      </c>
      <c r="D52" s="65">
        <f>C15</f>
        <v>3000</v>
      </c>
      <c r="E52" s="63"/>
      <c r="F52" s="63"/>
      <c r="G52" s="63"/>
      <c r="H52" s="63"/>
      <c r="I52" s="66">
        <f>SUM(C52:H52)</f>
        <v>6157.875</v>
      </c>
    </row>
    <row r="53" spans="1:9" ht="15" x14ac:dyDescent="0.25">
      <c r="A53" s="63">
        <v>2</v>
      </c>
      <c r="B53" s="64">
        <f>EDATE(B52,1)</f>
        <v>44013</v>
      </c>
      <c r="C53" s="65">
        <f t="shared" si="2"/>
        <v>3157.8750000000005</v>
      </c>
      <c r="D53" s="65">
        <f t="shared" ref="D53:D55" si="3">C16</f>
        <v>0</v>
      </c>
      <c r="E53" s="65">
        <f>IF($D$40&gt;=6,$E$40,0)</f>
        <v>1224.9999999999998</v>
      </c>
      <c r="F53" s="65"/>
      <c r="G53" s="65"/>
      <c r="H53" s="65"/>
      <c r="I53" s="66">
        <f t="shared" ref="I53:I76" si="4">SUM(C53:H53)</f>
        <v>4382.875</v>
      </c>
    </row>
    <row r="54" spans="1:9" ht="15" x14ac:dyDescent="0.25">
      <c r="A54" s="63">
        <v>3</v>
      </c>
      <c r="B54" s="64">
        <f t="shared" ref="B54:B76" si="5">EDATE(B53,1)</f>
        <v>44044</v>
      </c>
      <c r="C54" s="65">
        <f t="shared" si="2"/>
        <v>0</v>
      </c>
      <c r="D54" s="65">
        <f t="shared" si="3"/>
        <v>0</v>
      </c>
      <c r="E54" s="65">
        <f>IF($D$40&gt;=5,$E$40,0)</f>
        <v>1224.9999999999998</v>
      </c>
      <c r="F54" s="65"/>
      <c r="G54" s="65"/>
      <c r="H54" s="65"/>
      <c r="I54" s="66">
        <f t="shared" si="4"/>
        <v>1224.9999999999998</v>
      </c>
    </row>
    <row r="55" spans="1:9" ht="15" x14ac:dyDescent="0.25">
      <c r="A55" s="63">
        <v>4</v>
      </c>
      <c r="B55" s="64">
        <f t="shared" si="5"/>
        <v>44075</v>
      </c>
      <c r="C55" s="65">
        <f t="shared" si="2"/>
        <v>0</v>
      </c>
      <c r="D55" s="65">
        <f t="shared" si="3"/>
        <v>0</v>
      </c>
      <c r="E55" s="65">
        <f>IF($D$40&gt;=4,$E$40,0)</f>
        <v>1224.9999999999998</v>
      </c>
      <c r="F55" s="65"/>
      <c r="G55" s="65"/>
      <c r="H55" s="65"/>
      <c r="I55" s="66">
        <f t="shared" si="4"/>
        <v>1224.9999999999998</v>
      </c>
    </row>
    <row r="56" spans="1:9" ht="15" x14ac:dyDescent="0.25">
      <c r="A56" s="63">
        <v>5</v>
      </c>
      <c r="B56" s="64">
        <f t="shared" si="5"/>
        <v>44105</v>
      </c>
      <c r="C56" s="65">
        <f t="shared" si="2"/>
        <v>0</v>
      </c>
      <c r="D56" s="65"/>
      <c r="E56" s="65">
        <f t="shared" ref="E56:E58" si="6">$E$40</f>
        <v>1224.9999999999998</v>
      </c>
      <c r="F56" s="65"/>
      <c r="G56" s="65"/>
      <c r="H56" s="65"/>
      <c r="I56" s="66">
        <f t="shared" si="4"/>
        <v>1224.9999999999998</v>
      </c>
    </row>
    <row r="57" spans="1:9" ht="15" x14ac:dyDescent="0.25">
      <c r="A57" s="63">
        <v>6</v>
      </c>
      <c r="B57" s="64">
        <f t="shared" si="5"/>
        <v>44136</v>
      </c>
      <c r="C57" s="65">
        <f t="shared" si="2"/>
        <v>0</v>
      </c>
      <c r="D57" s="65"/>
      <c r="E57" s="65">
        <f t="shared" si="6"/>
        <v>1224.9999999999998</v>
      </c>
      <c r="F57" s="65"/>
      <c r="G57" s="65"/>
      <c r="H57" s="65"/>
      <c r="I57" s="66">
        <f t="shared" si="4"/>
        <v>1224.9999999999998</v>
      </c>
    </row>
    <row r="58" spans="1:9" ht="15" x14ac:dyDescent="0.25">
      <c r="A58" s="63">
        <v>7</v>
      </c>
      <c r="B58" s="64">
        <f t="shared" si="5"/>
        <v>44166</v>
      </c>
      <c r="C58" s="65">
        <f t="shared" si="2"/>
        <v>0</v>
      </c>
      <c r="D58" s="65"/>
      <c r="E58" s="65">
        <f t="shared" si="6"/>
        <v>1224.9999999999998</v>
      </c>
      <c r="F58" s="65"/>
      <c r="G58" s="65"/>
      <c r="H58" s="65"/>
      <c r="I58" s="66">
        <f t="shared" si="4"/>
        <v>1224.9999999999998</v>
      </c>
    </row>
    <row r="59" spans="1:9" ht="15" x14ac:dyDescent="0.25">
      <c r="A59" s="63">
        <v>8</v>
      </c>
      <c r="B59" s="64">
        <f t="shared" si="5"/>
        <v>44197</v>
      </c>
      <c r="C59" s="65">
        <f t="shared" si="2"/>
        <v>0</v>
      </c>
      <c r="D59" s="65"/>
      <c r="E59" s="65">
        <f t="shared" ref="E59:E64" si="7">$E$41</f>
        <v>1050</v>
      </c>
      <c r="F59" s="65"/>
      <c r="G59" s="65"/>
      <c r="H59" s="65"/>
      <c r="I59" s="66">
        <f t="shared" si="4"/>
        <v>1050</v>
      </c>
    </row>
    <row r="60" spans="1:9" ht="15" x14ac:dyDescent="0.25">
      <c r="A60" s="63">
        <v>9</v>
      </c>
      <c r="B60" s="64">
        <f t="shared" si="5"/>
        <v>44228</v>
      </c>
      <c r="C60" s="65">
        <f t="shared" si="2"/>
        <v>0</v>
      </c>
      <c r="D60" s="65"/>
      <c r="E60" s="65">
        <f t="shared" si="7"/>
        <v>1050</v>
      </c>
      <c r="F60" s="65"/>
      <c r="G60" s="65"/>
      <c r="H60" s="65"/>
      <c r="I60" s="66">
        <f t="shared" si="4"/>
        <v>1050</v>
      </c>
    </row>
    <row r="61" spans="1:9" ht="15" x14ac:dyDescent="0.25">
      <c r="A61" s="63">
        <v>10</v>
      </c>
      <c r="B61" s="64">
        <f t="shared" si="5"/>
        <v>44256</v>
      </c>
      <c r="C61" s="65">
        <f t="shared" si="2"/>
        <v>0</v>
      </c>
      <c r="D61" s="65"/>
      <c r="E61" s="65">
        <f t="shared" si="7"/>
        <v>1050</v>
      </c>
      <c r="F61" s="65">
        <f>$E$45</f>
        <v>17.125</v>
      </c>
      <c r="G61" s="65"/>
      <c r="H61" s="65"/>
      <c r="I61" s="66">
        <f t="shared" si="4"/>
        <v>1067.125</v>
      </c>
    </row>
    <row r="62" spans="1:9" ht="15" x14ac:dyDescent="0.25">
      <c r="A62" s="63">
        <v>11</v>
      </c>
      <c r="B62" s="64">
        <f t="shared" si="5"/>
        <v>44287</v>
      </c>
      <c r="C62" s="65">
        <f t="shared" si="2"/>
        <v>0</v>
      </c>
      <c r="D62" s="65"/>
      <c r="E62" s="65">
        <f t="shared" si="7"/>
        <v>1050</v>
      </c>
      <c r="F62" s="65"/>
      <c r="G62" s="65"/>
      <c r="H62" s="65"/>
      <c r="I62" s="66">
        <f t="shared" si="4"/>
        <v>1050</v>
      </c>
    </row>
    <row r="63" spans="1:9" ht="15" x14ac:dyDescent="0.25">
      <c r="A63" s="63">
        <v>12</v>
      </c>
      <c r="B63" s="64">
        <f t="shared" si="5"/>
        <v>44317</v>
      </c>
      <c r="C63" s="65">
        <f t="shared" si="2"/>
        <v>0</v>
      </c>
      <c r="D63" s="65"/>
      <c r="E63" s="65">
        <f t="shared" si="7"/>
        <v>1050</v>
      </c>
      <c r="F63" s="65"/>
      <c r="G63" s="65"/>
      <c r="H63" s="65"/>
      <c r="I63" s="66">
        <f t="shared" si="4"/>
        <v>1050</v>
      </c>
    </row>
    <row r="64" spans="1:9" ht="15" x14ac:dyDescent="0.25">
      <c r="A64" s="63">
        <v>13</v>
      </c>
      <c r="B64" s="64">
        <f t="shared" si="5"/>
        <v>44348</v>
      </c>
      <c r="C64" s="65">
        <f t="shared" si="2"/>
        <v>0</v>
      </c>
      <c r="D64" s="65"/>
      <c r="E64" s="65">
        <f t="shared" si="7"/>
        <v>1050</v>
      </c>
      <c r="F64" s="65"/>
      <c r="G64" s="65"/>
      <c r="H64" s="65"/>
      <c r="I64" s="66">
        <f t="shared" si="4"/>
        <v>1050</v>
      </c>
    </row>
    <row r="65" spans="1:13" ht="15" x14ac:dyDescent="0.25">
      <c r="A65" s="63">
        <v>14</v>
      </c>
      <c r="B65" s="64">
        <f t="shared" si="5"/>
        <v>44378</v>
      </c>
      <c r="C65" s="65">
        <f t="shared" si="2"/>
        <v>0</v>
      </c>
      <c r="D65" s="65"/>
      <c r="E65" s="65">
        <f t="shared" ref="E65:E70" si="8">$E$42</f>
        <v>700</v>
      </c>
      <c r="F65" s="65"/>
      <c r="G65" s="65"/>
      <c r="H65" s="65"/>
      <c r="I65" s="66">
        <f t="shared" si="4"/>
        <v>700</v>
      </c>
    </row>
    <row r="66" spans="1:13" ht="15" x14ac:dyDescent="0.25">
      <c r="A66" s="63">
        <v>15</v>
      </c>
      <c r="B66" s="64">
        <f t="shared" si="5"/>
        <v>44409</v>
      </c>
      <c r="C66" s="65">
        <f t="shared" si="2"/>
        <v>0</v>
      </c>
      <c r="D66" s="65"/>
      <c r="E66" s="65">
        <f t="shared" si="8"/>
        <v>700</v>
      </c>
      <c r="F66" s="65"/>
      <c r="G66" s="65"/>
      <c r="H66" s="65"/>
      <c r="I66" s="66">
        <f t="shared" si="4"/>
        <v>700</v>
      </c>
    </row>
    <row r="67" spans="1:13" ht="15" x14ac:dyDescent="0.25">
      <c r="A67" s="63">
        <v>16</v>
      </c>
      <c r="B67" s="64">
        <f t="shared" si="5"/>
        <v>44440</v>
      </c>
      <c r="C67" s="65">
        <f t="shared" si="2"/>
        <v>0</v>
      </c>
      <c r="D67" s="65"/>
      <c r="E67" s="65">
        <f t="shared" si="8"/>
        <v>700</v>
      </c>
      <c r="F67" s="65"/>
      <c r="G67" s="65"/>
      <c r="H67" s="65"/>
      <c r="I67" s="66">
        <f t="shared" si="4"/>
        <v>700</v>
      </c>
    </row>
    <row r="68" spans="1:13" ht="15" x14ac:dyDescent="0.25">
      <c r="A68" s="63">
        <v>17</v>
      </c>
      <c r="B68" s="64">
        <f t="shared" si="5"/>
        <v>44470</v>
      </c>
      <c r="C68" s="65">
        <f t="shared" si="2"/>
        <v>0</v>
      </c>
      <c r="D68" s="65"/>
      <c r="E68" s="65">
        <f t="shared" si="8"/>
        <v>700</v>
      </c>
      <c r="F68" s="65"/>
      <c r="G68" s="65"/>
      <c r="H68" s="65"/>
      <c r="I68" s="66">
        <f t="shared" si="4"/>
        <v>700</v>
      </c>
    </row>
    <row r="69" spans="1:13" ht="15" x14ac:dyDescent="0.25">
      <c r="A69" s="63">
        <v>18</v>
      </c>
      <c r="B69" s="64">
        <f t="shared" si="5"/>
        <v>44501</v>
      </c>
      <c r="C69" s="65">
        <f t="shared" si="2"/>
        <v>0</v>
      </c>
      <c r="D69" s="65"/>
      <c r="E69" s="65">
        <f t="shared" si="8"/>
        <v>700</v>
      </c>
      <c r="F69" s="65"/>
      <c r="G69" s="65"/>
      <c r="H69" s="65"/>
      <c r="I69" s="66">
        <f t="shared" si="4"/>
        <v>700</v>
      </c>
    </row>
    <row r="70" spans="1:13" ht="15" x14ac:dyDescent="0.25">
      <c r="A70" s="63">
        <v>19</v>
      </c>
      <c r="B70" s="64">
        <f t="shared" si="5"/>
        <v>44531</v>
      </c>
      <c r="C70" s="65">
        <f t="shared" si="2"/>
        <v>0</v>
      </c>
      <c r="D70" s="65"/>
      <c r="E70" s="65">
        <f t="shared" si="8"/>
        <v>700</v>
      </c>
      <c r="F70" s="65"/>
      <c r="G70" s="65"/>
      <c r="H70" s="65"/>
      <c r="I70" s="66">
        <f t="shared" si="4"/>
        <v>700</v>
      </c>
    </row>
    <row r="71" spans="1:13" ht="15" x14ac:dyDescent="0.25">
      <c r="A71" s="63">
        <v>20</v>
      </c>
      <c r="B71" s="64">
        <f t="shared" si="5"/>
        <v>44562</v>
      </c>
      <c r="C71" s="65">
        <f t="shared" si="2"/>
        <v>0</v>
      </c>
      <c r="D71" s="65"/>
      <c r="E71" s="65">
        <f>$E$43</f>
        <v>525</v>
      </c>
      <c r="F71" s="65"/>
      <c r="G71" s="65"/>
      <c r="H71" s="65"/>
      <c r="I71" s="66">
        <f t="shared" si="4"/>
        <v>525</v>
      </c>
    </row>
    <row r="72" spans="1:13" ht="15" x14ac:dyDescent="0.25">
      <c r="A72" s="63">
        <v>21</v>
      </c>
      <c r="B72" s="64">
        <f t="shared" si="5"/>
        <v>44593</v>
      </c>
      <c r="C72" s="65">
        <f t="shared" si="2"/>
        <v>0</v>
      </c>
      <c r="D72" s="65"/>
      <c r="E72" s="65">
        <f t="shared" ref="E72:E76" si="9">$E$43</f>
        <v>525</v>
      </c>
      <c r="F72" s="65"/>
      <c r="G72" s="65"/>
      <c r="H72" s="65"/>
      <c r="I72" s="66">
        <f t="shared" si="4"/>
        <v>525</v>
      </c>
    </row>
    <row r="73" spans="1:13" ht="15" x14ac:dyDescent="0.25">
      <c r="A73" s="63">
        <v>22</v>
      </c>
      <c r="B73" s="64">
        <f t="shared" si="5"/>
        <v>44621</v>
      </c>
      <c r="C73" s="65">
        <f t="shared" si="2"/>
        <v>0</v>
      </c>
      <c r="D73" s="65"/>
      <c r="E73" s="65">
        <f t="shared" si="9"/>
        <v>525</v>
      </c>
      <c r="F73" s="65">
        <f>F61</f>
        <v>17.125</v>
      </c>
      <c r="G73" s="65"/>
      <c r="H73" s="65"/>
      <c r="I73" s="66">
        <f t="shared" si="4"/>
        <v>542.125</v>
      </c>
    </row>
    <row r="74" spans="1:13" ht="15" x14ac:dyDescent="0.25">
      <c r="A74" s="63">
        <v>23</v>
      </c>
      <c r="B74" s="64">
        <f t="shared" si="5"/>
        <v>44652</v>
      </c>
      <c r="C74" s="65">
        <f t="shared" si="2"/>
        <v>0</v>
      </c>
      <c r="D74" s="65"/>
      <c r="E74" s="65">
        <f t="shared" si="9"/>
        <v>525</v>
      </c>
      <c r="F74" s="65"/>
      <c r="G74" s="65"/>
      <c r="H74" s="65"/>
      <c r="I74" s="66">
        <f t="shared" si="4"/>
        <v>525</v>
      </c>
    </row>
    <row r="75" spans="1:13" ht="15" x14ac:dyDescent="0.25">
      <c r="A75" s="63">
        <v>24</v>
      </c>
      <c r="B75" s="64">
        <f t="shared" si="5"/>
        <v>44682</v>
      </c>
      <c r="C75" s="65">
        <f t="shared" si="2"/>
        <v>0</v>
      </c>
      <c r="D75" s="65"/>
      <c r="E75" s="65">
        <f t="shared" si="9"/>
        <v>525</v>
      </c>
      <c r="F75" s="65"/>
      <c r="G75" s="65"/>
      <c r="H75" s="65"/>
      <c r="I75" s="66">
        <f t="shared" si="4"/>
        <v>525</v>
      </c>
    </row>
    <row r="76" spans="1:13" ht="15" x14ac:dyDescent="0.25">
      <c r="A76" s="63">
        <v>25</v>
      </c>
      <c r="B76" s="64">
        <f t="shared" si="5"/>
        <v>44713</v>
      </c>
      <c r="C76" s="65">
        <f t="shared" si="2"/>
        <v>0</v>
      </c>
      <c r="D76" s="65"/>
      <c r="E76" s="65">
        <f t="shared" si="9"/>
        <v>525</v>
      </c>
      <c r="F76" s="65"/>
      <c r="G76" s="65">
        <f>+C46</f>
        <v>0</v>
      </c>
      <c r="H76" s="65">
        <f>+C33</f>
        <v>100</v>
      </c>
      <c r="I76" s="66">
        <f t="shared" si="4"/>
        <v>625</v>
      </c>
    </row>
    <row r="78" spans="1:13" ht="18.75" hidden="1" x14ac:dyDescent="0.3">
      <c r="B78" s="94" t="s">
        <v>78</v>
      </c>
      <c r="C78" s="95"/>
      <c r="D78" s="95"/>
      <c r="E78" s="95"/>
      <c r="F78" s="95"/>
      <c r="G78" s="95"/>
      <c r="H78" s="95"/>
    </row>
    <row r="79" spans="1:13" hidden="1" x14ac:dyDescent="0.25">
      <c r="B79" s="22"/>
      <c r="C79" s="16"/>
      <c r="D79" s="19"/>
      <c r="E79" s="19"/>
    </row>
    <row r="80" spans="1:13" hidden="1" x14ac:dyDescent="0.25">
      <c r="B80" s="14" t="s">
        <v>79</v>
      </c>
      <c r="C80" s="15" t="s">
        <v>80</v>
      </c>
      <c r="D80" s="15" t="s">
        <v>81</v>
      </c>
      <c r="E80" s="19"/>
      <c r="G80" s="88"/>
      <c r="H80" s="88"/>
      <c r="I80" s="88"/>
      <c r="J80" s="88"/>
      <c r="K80" s="88"/>
      <c r="L80" s="88"/>
      <c r="M80" s="88"/>
    </row>
    <row r="81" spans="2:10" hidden="1" x14ac:dyDescent="0.25">
      <c r="B81" s="17" t="s">
        <v>58</v>
      </c>
      <c r="C81" s="18"/>
      <c r="D81" s="19"/>
      <c r="E81" s="19"/>
      <c r="H81" s="13"/>
    </row>
    <row r="82" spans="2:10" hidden="1" x14ac:dyDescent="0.25">
      <c r="B82" s="17" t="s">
        <v>59</v>
      </c>
      <c r="C82" s="23">
        <f>VLOOKUP($C$10,$B$96:$H$100,5,FALSE)</f>
        <v>9315.75</v>
      </c>
      <c r="D82" s="19"/>
      <c r="E82" s="19"/>
      <c r="H82" s="13"/>
    </row>
    <row r="83" spans="2:10" hidden="1" x14ac:dyDescent="0.25">
      <c r="B83" s="20" t="s">
        <v>61</v>
      </c>
      <c r="C83" s="24">
        <f>C82-C31</f>
        <v>2999.9999999999991</v>
      </c>
      <c r="D83" s="19"/>
      <c r="E83" s="19"/>
    </row>
    <row r="84" spans="2:10" hidden="1" x14ac:dyDescent="0.25">
      <c r="B84" s="17" t="s">
        <v>63</v>
      </c>
      <c r="C84" s="23"/>
      <c r="D84" s="19"/>
      <c r="E84" s="19"/>
    </row>
    <row r="85" spans="2:10" hidden="1" x14ac:dyDescent="0.25">
      <c r="B85" s="20" t="s">
        <v>82</v>
      </c>
      <c r="D85" s="25">
        <f>VLOOKUP(C10,$B$96:$I$100,8,FALSE)</f>
        <v>160440</v>
      </c>
      <c r="E85" s="19"/>
    </row>
    <row r="86" spans="2:10" hidden="1" x14ac:dyDescent="0.25">
      <c r="B86" s="17" t="s">
        <v>83</v>
      </c>
      <c r="C86" s="19"/>
      <c r="D86" s="19"/>
      <c r="E86" s="19"/>
    </row>
    <row r="87" spans="2:10" hidden="1" x14ac:dyDescent="0.25">
      <c r="B87" s="17" t="s">
        <v>84</v>
      </c>
      <c r="C87" s="36">
        <f>IF($E$39="Regressiva",35%,25%)</f>
        <v>0.35</v>
      </c>
      <c r="D87" s="19"/>
      <c r="E87" s="19"/>
      <c r="F87" s="31"/>
    </row>
    <row r="88" spans="2:10" hidden="1" x14ac:dyDescent="0.25">
      <c r="B88" s="17" t="s">
        <v>85</v>
      </c>
      <c r="C88" s="36">
        <f>IF($E$39="Regressiva",30%,25%)</f>
        <v>0.3</v>
      </c>
      <c r="D88" s="19"/>
      <c r="E88" s="19"/>
      <c r="F88" s="31"/>
    </row>
    <row r="89" spans="2:10" hidden="1" x14ac:dyDescent="0.25">
      <c r="B89" s="17" t="s">
        <v>86</v>
      </c>
      <c r="C89" s="36">
        <f>IF($E$39="Regressiva",20%,25%)</f>
        <v>0.2</v>
      </c>
      <c r="D89" s="19"/>
      <c r="E89" s="19"/>
      <c r="F89" s="31"/>
    </row>
    <row r="90" spans="2:10" hidden="1" x14ac:dyDescent="0.25">
      <c r="B90" s="17" t="s">
        <v>98</v>
      </c>
      <c r="C90" s="36">
        <f>IF($E$39="Regressiva",15%,25%)</f>
        <v>0.15</v>
      </c>
      <c r="D90" s="19"/>
      <c r="E90" s="19"/>
      <c r="F90" s="31"/>
    </row>
    <row r="91" spans="2:10" hidden="1" x14ac:dyDescent="0.25">
      <c r="D91" s="19"/>
      <c r="E91" s="19"/>
    </row>
    <row r="92" spans="2:10" hidden="1" x14ac:dyDescent="0.2">
      <c r="B92" s="14" t="s">
        <v>87</v>
      </c>
      <c r="C92" s="83">
        <v>24</v>
      </c>
    </row>
    <row r="93" spans="2:10" ht="15.75" hidden="1" customHeight="1" x14ac:dyDescent="0.2"/>
    <row r="94" spans="2:10" ht="18.75" hidden="1" x14ac:dyDescent="0.25">
      <c r="B94" s="26" t="s">
        <v>88</v>
      </c>
      <c r="C94" s="27"/>
      <c r="D94" s="28"/>
      <c r="E94" s="28"/>
      <c r="F94" s="87" t="s">
        <v>89</v>
      </c>
      <c r="G94" s="88"/>
      <c r="H94" s="28"/>
    </row>
    <row r="95" spans="2:10" ht="31.5" hidden="1" x14ac:dyDescent="0.2">
      <c r="B95" s="14" t="s">
        <v>0</v>
      </c>
      <c r="C95" s="15" t="s">
        <v>90</v>
      </c>
      <c r="D95" s="15" t="s">
        <v>1</v>
      </c>
      <c r="E95" s="15" t="s">
        <v>2</v>
      </c>
      <c r="F95" s="15" t="s">
        <v>91</v>
      </c>
      <c r="G95" s="15" t="s">
        <v>92</v>
      </c>
      <c r="H95" s="15" t="s">
        <v>4</v>
      </c>
      <c r="I95" s="29" t="s">
        <v>93</v>
      </c>
      <c r="J95" s="29" t="s">
        <v>94</v>
      </c>
    </row>
    <row r="96" spans="2:10" hidden="1" x14ac:dyDescent="0.25">
      <c r="B96" s="17" t="s">
        <v>95</v>
      </c>
      <c r="C96" s="30">
        <f>'Tabela 2.1 B'!B15</f>
        <v>205815</v>
      </c>
      <c r="D96" s="30">
        <f>'Tabela 2.1 B'!C15</f>
        <v>33615</v>
      </c>
      <c r="E96" s="30">
        <f>'Tabela 2.1 B'!D15</f>
        <v>172200</v>
      </c>
      <c r="F96" s="30">
        <f>'Tabela 2.1 B'!E15</f>
        <v>9027</v>
      </c>
      <c r="G96" s="30">
        <f>'Tabela 2.1 B'!F15</f>
        <v>163073</v>
      </c>
      <c r="H96" s="30">
        <f>'Tabela 2.1 B'!G15</f>
        <v>100</v>
      </c>
      <c r="I96" s="30">
        <v>159600</v>
      </c>
      <c r="J96" s="21">
        <v>0</v>
      </c>
    </row>
    <row r="97" spans="2:10" hidden="1" x14ac:dyDescent="0.25">
      <c r="B97" s="17" t="s">
        <v>6</v>
      </c>
      <c r="C97" s="30">
        <f>'Tabela 2.1 B'!B16</f>
        <v>207154</v>
      </c>
      <c r="D97" s="30">
        <f>'Tabela 2.1 B'!C16</f>
        <v>26704</v>
      </c>
      <c r="E97" s="30">
        <f>'Tabela 2.1 B'!D16</f>
        <v>180450</v>
      </c>
      <c r="F97" s="30">
        <f>'Tabela 2.1 B'!E16</f>
        <v>9315.75</v>
      </c>
      <c r="G97" s="30">
        <f>'Tabela 2.1 B'!F16</f>
        <v>171034.25</v>
      </c>
      <c r="H97" s="30">
        <f>'Tabela 2.1 B'!G16</f>
        <v>100</v>
      </c>
      <c r="I97" s="30">
        <v>160440</v>
      </c>
      <c r="J97" s="21">
        <v>1</v>
      </c>
    </row>
    <row r="98" spans="2:10" hidden="1" x14ac:dyDescent="0.25">
      <c r="B98" s="17" t="s">
        <v>7</v>
      </c>
      <c r="C98" s="30">
        <f>'Tabela 2.1 B'!B17</f>
        <v>208265</v>
      </c>
      <c r="D98" s="30">
        <f>'Tabela 2.1 B'!C17</f>
        <v>26065</v>
      </c>
      <c r="E98" s="30">
        <f>'Tabela 2.1 B'!D17</f>
        <v>182200</v>
      </c>
      <c r="F98" s="30">
        <f>'Tabela 2.1 B'!E17</f>
        <v>9377</v>
      </c>
      <c r="G98" s="30">
        <f>'Tabela 2.1 B'!F17</f>
        <v>172723</v>
      </c>
      <c r="H98" s="30">
        <f>'Tabela 2.1 B'!G17</f>
        <v>100</v>
      </c>
      <c r="I98" s="30">
        <v>161280</v>
      </c>
      <c r="J98" s="21">
        <v>2</v>
      </c>
    </row>
    <row r="99" spans="2:10" hidden="1" x14ac:dyDescent="0.25">
      <c r="B99" s="17" t="s">
        <v>8</v>
      </c>
      <c r="C99" s="30">
        <f>'Tabela 2.1 B'!B18</f>
        <v>208204</v>
      </c>
      <c r="D99" s="30">
        <f>'Tabela 2.1 B'!C18</f>
        <v>27754</v>
      </c>
      <c r="E99" s="30">
        <f>'Tabela 2.1 B'!D18</f>
        <v>180450</v>
      </c>
      <c r="F99" s="30">
        <f>'Tabela 2.1 B'!E18</f>
        <v>9315.75</v>
      </c>
      <c r="G99" s="30">
        <f>'Tabela 2.1 B'!F18</f>
        <v>171034.25</v>
      </c>
      <c r="H99" s="30">
        <f>'Tabela 2.1 B'!G18</f>
        <v>100</v>
      </c>
      <c r="I99" s="30">
        <v>161280</v>
      </c>
      <c r="J99" s="21">
        <v>3</v>
      </c>
    </row>
    <row r="100" spans="2:10" hidden="1" x14ac:dyDescent="0.25">
      <c r="B100" s="17" t="s">
        <v>9</v>
      </c>
      <c r="C100" s="30">
        <f>'Tabela 2.1 B'!B19</f>
        <v>206988</v>
      </c>
      <c r="D100" s="30">
        <f>'Tabela 2.1 B'!C19</f>
        <v>31288</v>
      </c>
      <c r="E100" s="30">
        <f>'Tabela 2.1 B'!D19</f>
        <v>175700</v>
      </c>
      <c r="F100" s="30">
        <f>'Tabela 2.1 B'!E19</f>
        <v>9149.5</v>
      </c>
      <c r="G100" s="30">
        <f>'Tabela 2.1 B'!F19</f>
        <v>166450.5</v>
      </c>
      <c r="H100" s="30">
        <f>'Tabela 2.1 B'!G19</f>
        <v>100</v>
      </c>
      <c r="I100" s="30">
        <v>160440</v>
      </c>
      <c r="J100" s="21">
        <v>4</v>
      </c>
    </row>
  </sheetData>
  <mergeCells count="22">
    <mergeCell ref="B1:D1"/>
    <mergeCell ref="G3:H3"/>
    <mergeCell ref="C23:E23"/>
    <mergeCell ref="G23:H23"/>
    <mergeCell ref="G10:I10"/>
    <mergeCell ref="G11:H11"/>
    <mergeCell ref="G12:H12"/>
    <mergeCell ref="G13:H13"/>
    <mergeCell ref="G14:H14"/>
    <mergeCell ref="G15:H15"/>
    <mergeCell ref="G16:H16"/>
    <mergeCell ref="G17:H17"/>
    <mergeCell ref="G18:H18"/>
    <mergeCell ref="G19:H19"/>
    <mergeCell ref="G22:I22"/>
    <mergeCell ref="F94:G94"/>
    <mergeCell ref="C24:E24"/>
    <mergeCell ref="G24:H24"/>
    <mergeCell ref="C25:E25"/>
    <mergeCell ref="G25:H25"/>
    <mergeCell ref="B78:H78"/>
    <mergeCell ref="G80:M80"/>
  </mergeCells>
  <conditionalFormatting sqref="C45">
    <cfRule type="cellIs" dxfId="21" priority="4" operator="greaterThan">
      <formula>"f42"</formula>
    </cfRule>
  </conditionalFormatting>
  <conditionalFormatting sqref="I14 I19">
    <cfRule type="cellIs" dxfId="20" priority="5" operator="equal">
      <formula>"Ok"</formula>
    </cfRule>
  </conditionalFormatting>
  <conditionalFormatting sqref="I14 I19">
    <cfRule type="containsText" dxfId="19" priority="6" operator="containsText" text="Rever">
      <formula>NOT(ISERROR(SEARCH(("Rever"),(I14))))</formula>
    </cfRule>
  </conditionalFormatting>
  <conditionalFormatting sqref="I15:I16 I18">
    <cfRule type="cellIs" dxfId="18" priority="7" operator="equal">
      <formula>"OK"</formula>
    </cfRule>
  </conditionalFormatting>
  <conditionalFormatting sqref="I15:I16 I18">
    <cfRule type="cellIs" dxfId="17" priority="8" operator="notEqual">
      <formula>"OK"</formula>
    </cfRule>
  </conditionalFormatting>
  <conditionalFormatting sqref="I13">
    <cfRule type="cellIs" dxfId="16" priority="9" operator="lessThan">
      <formula>0</formula>
    </cfRule>
  </conditionalFormatting>
  <conditionalFormatting sqref="I14">
    <cfRule type="cellIs" dxfId="15" priority="10" operator="equal">
      <formula>"Entrada Zero"</formula>
    </cfRule>
  </conditionalFormatting>
  <conditionalFormatting sqref="I14">
    <cfRule type="cellIs" dxfId="14" priority="11" operator="equal">
      <formula>"Sem ato"</formula>
    </cfRule>
  </conditionalFormatting>
  <conditionalFormatting sqref="C46">
    <cfRule type="cellIs" dxfId="13" priority="3" operator="greaterThan">
      <formula>"f42"</formula>
    </cfRule>
  </conditionalFormatting>
  <conditionalFormatting sqref="I17">
    <cfRule type="cellIs" dxfId="12" priority="1" operator="equal">
      <formula>"OK"</formula>
    </cfRule>
  </conditionalFormatting>
  <conditionalFormatting sqref="I17">
    <cfRule type="cellIs" dxfId="11" priority="2" operator="notEqual">
      <formula>"OK"</formula>
    </cfRule>
  </conditionalFormatting>
  <dataValidations count="7">
    <dataValidation type="list" allowBlank="1" showErrorMessage="1" sqref="D40:D43 D14">
      <formula1>"0,1,2,3,4,5,6"</formula1>
    </dataValidation>
    <dataValidation type="list" allowBlank="1" showErrorMessage="1" sqref="C22">
      <formula1>"5,15,25"</formula1>
    </dataValidation>
    <dataValidation type="list" allowBlank="1" showErrorMessage="1" sqref="E39">
      <formula1>"Regressiva,Linear"</formula1>
    </dataValidation>
    <dataValidation type="list" allowBlank="1" showErrorMessage="1" sqref="C8">
      <formula1>"1,2,3,4,5,6,7,8,9,10"</formula1>
    </dataValidation>
    <dataValidation type="list" allowBlank="1" showErrorMessage="1" sqref="C10">
      <formula1>$B$96:$B$100</formula1>
    </dataValidation>
    <dataValidation type="list" allowBlank="1" showErrorMessage="1" sqref="D45">
      <formula1>"1,2"</formula1>
    </dataValidation>
    <dataValidation type="list" allowBlank="1" showErrorMessage="1" sqref="C9">
      <formula1>"1,2,3,4,11,12,13,14,21,22,23,24,31,32,33,34,41,42,43,44"</formula1>
    </dataValidation>
  </dataValidations>
  <printOptions horizontalCentered="1" verticalCentered="1" gridLines="1"/>
  <pageMargins left="0.7" right="0.7" top="0.75" bottom="0.75" header="0" footer="0"/>
  <pageSetup paperSize="9" scale="54" pageOrder="overThenDown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outlinePr summaryBelow="0" summaryRight="0"/>
    <pageSetUpPr fitToPage="1"/>
  </sheetPr>
  <dimension ref="A1:M100"/>
  <sheetViews>
    <sheetView showGridLines="0" topLeftCell="A4" zoomScale="70" zoomScaleNormal="70" workbookViewId="0">
      <selection activeCell="D17" sqref="D17"/>
    </sheetView>
  </sheetViews>
  <sheetFormatPr defaultColWidth="14.42578125" defaultRowHeight="15.75" customHeight="1" x14ac:dyDescent="0.2"/>
  <cols>
    <col min="1" max="1" width="4.85546875" style="80" customWidth="1"/>
    <col min="2" max="2" width="24" style="80" customWidth="1"/>
    <col min="3" max="5" width="20.7109375" style="80" customWidth="1"/>
    <col min="6" max="8" width="18.42578125" style="80" customWidth="1"/>
    <col min="9" max="9" width="22.140625" style="80" customWidth="1"/>
    <col min="10" max="16384" width="14.42578125" style="80"/>
  </cols>
  <sheetData>
    <row r="1" spans="1:12" ht="98.25" customHeight="1" x14ac:dyDescent="0.25">
      <c r="A1" s="81"/>
      <c r="B1" s="96" t="s">
        <v>18</v>
      </c>
      <c r="C1" s="105"/>
      <c r="D1" s="105"/>
      <c r="E1" s="81"/>
      <c r="F1" s="81"/>
      <c r="G1" s="81"/>
      <c r="H1" s="81"/>
    </row>
    <row r="2" spans="1:12" ht="9" customHeight="1" x14ac:dyDescent="0.2">
      <c r="A2" s="81"/>
      <c r="B2" s="81"/>
      <c r="C2" s="81"/>
      <c r="D2" s="81"/>
      <c r="E2" s="81"/>
      <c r="F2" s="81"/>
      <c r="G2" s="81"/>
      <c r="H2" s="81"/>
    </row>
    <row r="3" spans="1:12" ht="36" customHeight="1" x14ac:dyDescent="0.2">
      <c r="A3" s="81"/>
      <c r="B3" s="37" t="s">
        <v>19</v>
      </c>
      <c r="C3" s="84"/>
      <c r="D3" s="37" t="s">
        <v>20</v>
      </c>
      <c r="E3" s="84"/>
      <c r="F3" s="72" t="s">
        <v>21</v>
      </c>
      <c r="G3" s="98"/>
      <c r="H3" s="99"/>
    </row>
    <row r="4" spans="1:12" ht="15.75" customHeight="1" x14ac:dyDescent="0.2">
      <c r="A4" s="81"/>
      <c r="B4" s="81"/>
      <c r="C4" s="81"/>
      <c r="D4" s="81"/>
      <c r="E4" s="81"/>
      <c r="F4" s="81"/>
      <c r="G4" s="81"/>
      <c r="H4" s="81"/>
    </row>
    <row r="5" spans="1:12" ht="34.5" customHeight="1" x14ac:dyDescent="0.2">
      <c r="A5" s="81"/>
      <c r="B5" s="72" t="s">
        <v>22</v>
      </c>
      <c r="C5" s="84"/>
      <c r="D5" s="72" t="s">
        <v>23</v>
      </c>
      <c r="E5" s="84"/>
      <c r="F5" s="72" t="s">
        <v>118</v>
      </c>
      <c r="G5" s="84"/>
      <c r="H5" s="72" t="s">
        <v>119</v>
      </c>
      <c r="I5" s="84"/>
    </row>
    <row r="6" spans="1:12" ht="34.5" customHeight="1" x14ac:dyDescent="0.2">
      <c r="A6" s="81"/>
      <c r="B6" s="72" t="s">
        <v>24</v>
      </c>
      <c r="C6" s="84"/>
      <c r="D6" s="72" t="s">
        <v>23</v>
      </c>
      <c r="E6" s="84"/>
      <c r="F6" s="72" t="s">
        <v>118</v>
      </c>
      <c r="G6" s="84"/>
      <c r="H6" s="72" t="s">
        <v>119</v>
      </c>
      <c r="I6" s="84"/>
    </row>
    <row r="7" spans="1:12" ht="14.25" x14ac:dyDescent="0.2">
      <c r="A7" s="81"/>
      <c r="B7" s="39"/>
      <c r="C7" s="39"/>
      <c r="D7" s="39"/>
      <c r="E7" s="39"/>
      <c r="F7" s="39"/>
      <c r="G7" s="39"/>
      <c r="H7" s="39"/>
    </row>
    <row r="8" spans="1:12" ht="15" x14ac:dyDescent="0.25">
      <c r="A8" s="81"/>
      <c r="B8" s="37" t="s">
        <v>25</v>
      </c>
      <c r="C8" s="40"/>
      <c r="D8" s="39"/>
      <c r="E8" s="39"/>
    </row>
    <row r="9" spans="1:12" ht="15" x14ac:dyDescent="0.25">
      <c r="A9" s="81"/>
      <c r="B9" s="37" t="s">
        <v>26</v>
      </c>
      <c r="C9" s="40"/>
      <c r="D9" s="39"/>
      <c r="E9" s="39"/>
      <c r="F9" s="81"/>
      <c r="G9" s="81"/>
      <c r="H9" s="81"/>
    </row>
    <row r="10" spans="1:12" ht="15" x14ac:dyDescent="0.25">
      <c r="A10" s="81"/>
      <c r="B10" s="41" t="s">
        <v>0</v>
      </c>
      <c r="C10" s="42" t="s">
        <v>8</v>
      </c>
      <c r="D10" s="39"/>
      <c r="E10" s="81"/>
      <c r="F10" s="39"/>
      <c r="G10" s="100" t="s">
        <v>27</v>
      </c>
      <c r="H10" s="100"/>
      <c r="I10" s="100"/>
    </row>
    <row r="11" spans="1:12" ht="15" x14ac:dyDescent="0.2">
      <c r="A11" s="81"/>
      <c r="B11" s="41" t="s">
        <v>28</v>
      </c>
      <c r="C11" s="38">
        <v>2500</v>
      </c>
      <c r="D11" s="39"/>
      <c r="E11" s="39"/>
      <c r="F11" s="81"/>
      <c r="G11" s="101" t="s">
        <v>29</v>
      </c>
      <c r="H11" s="101"/>
      <c r="I11" s="67">
        <f>VLOOKUP($C$10,$B$96:$H$100,2,FALSE)</f>
        <v>208204</v>
      </c>
    </row>
    <row r="12" spans="1:12" ht="15" x14ac:dyDescent="0.25">
      <c r="A12" s="81"/>
      <c r="B12" s="81"/>
      <c r="C12" s="81"/>
      <c r="D12" s="39"/>
      <c r="E12" s="39"/>
      <c r="F12" s="81"/>
      <c r="G12" s="102" t="s">
        <v>30</v>
      </c>
      <c r="H12" s="102"/>
      <c r="I12" s="68">
        <f>SUM(C29,C30,C33,C34,C39,C45,C46)</f>
        <v>208204</v>
      </c>
    </row>
    <row r="13" spans="1:12" x14ac:dyDescent="0.25">
      <c r="A13" s="81"/>
      <c r="B13" s="43"/>
      <c r="C13" s="44" t="s">
        <v>31</v>
      </c>
      <c r="D13" s="45" t="s">
        <v>32</v>
      </c>
      <c r="E13" s="45" t="s">
        <v>33</v>
      </c>
      <c r="F13" s="46"/>
      <c r="G13" s="102" t="s">
        <v>34</v>
      </c>
      <c r="H13" s="102"/>
      <c r="I13" s="68">
        <f>I12-I11</f>
        <v>0</v>
      </c>
      <c r="J13" s="16"/>
      <c r="K13" s="16"/>
      <c r="L13" s="16"/>
    </row>
    <row r="14" spans="1:12" x14ac:dyDescent="0.25">
      <c r="A14" s="81"/>
      <c r="B14" s="47" t="s">
        <v>35</v>
      </c>
      <c r="C14" s="48">
        <f>2%*(I11-C29)</f>
        <v>3609</v>
      </c>
      <c r="D14" s="49">
        <v>4</v>
      </c>
      <c r="E14" s="48">
        <f>C14/D14</f>
        <v>902.25</v>
      </c>
      <c r="F14" s="46"/>
      <c r="G14" s="103" t="s">
        <v>36</v>
      </c>
      <c r="H14" s="103"/>
      <c r="I14" s="69" t="str">
        <f>IF(C32&gt;=C83,"OK","REVER ATO")</f>
        <v>REVER ATO</v>
      </c>
      <c r="J14" s="16"/>
      <c r="K14" s="16"/>
      <c r="L14" s="16"/>
    </row>
    <row r="15" spans="1:12" x14ac:dyDescent="0.25">
      <c r="A15" s="81"/>
      <c r="B15" s="47" t="s">
        <v>37</v>
      </c>
      <c r="C15" s="50">
        <v>5700</v>
      </c>
      <c r="D15" s="51"/>
      <c r="E15" s="51"/>
      <c r="F15" s="46"/>
      <c r="G15" s="103" t="s">
        <v>39</v>
      </c>
      <c r="H15" s="103"/>
      <c r="I15" s="69" t="str">
        <f>IF(SUM(D40:D42)&gt;C92,"Rever prazos","OK")</f>
        <v>OK</v>
      </c>
      <c r="J15" s="16"/>
      <c r="K15" s="16"/>
      <c r="L15" s="16"/>
    </row>
    <row r="16" spans="1:12" x14ac:dyDescent="0.25">
      <c r="A16" s="81"/>
      <c r="B16" s="47" t="s">
        <v>38</v>
      </c>
      <c r="C16" s="50"/>
      <c r="D16" s="51"/>
      <c r="E16" s="52"/>
      <c r="F16" s="46"/>
      <c r="G16" s="103" t="s">
        <v>41</v>
      </c>
      <c r="H16" s="103"/>
      <c r="I16" s="69" t="str">
        <f>IF(E45&gt;C11,"Rever anuais","OK")</f>
        <v>OK</v>
      </c>
      <c r="J16" s="16"/>
      <c r="K16" s="16"/>
      <c r="L16" s="16"/>
    </row>
    <row r="17" spans="1:13" x14ac:dyDescent="0.25">
      <c r="A17" s="81"/>
      <c r="B17" s="47" t="s">
        <v>40</v>
      </c>
      <c r="C17" s="50"/>
      <c r="D17" s="51"/>
      <c r="E17" s="52"/>
      <c r="F17" s="46"/>
      <c r="G17" s="103" t="s">
        <v>102</v>
      </c>
      <c r="H17" s="103"/>
      <c r="I17" s="69" t="str">
        <f>IF(C46&gt;3%*(I11-C29),"Rever chaves","OK")</f>
        <v>OK</v>
      </c>
      <c r="J17" s="16"/>
      <c r="K17" s="16"/>
      <c r="L17" s="16"/>
    </row>
    <row r="18" spans="1:13" x14ac:dyDescent="0.25">
      <c r="A18" s="81"/>
      <c r="B18" s="47" t="s">
        <v>42</v>
      </c>
      <c r="C18" s="50"/>
      <c r="D18" s="51"/>
      <c r="E18" s="52"/>
      <c r="F18" s="81"/>
      <c r="G18" s="103" t="s">
        <v>43</v>
      </c>
      <c r="H18" s="103"/>
      <c r="I18" s="70" t="str">
        <f>IF(C35&gt;D85,CONCATENATE("Rever, o máximo é ",D85),"OK")</f>
        <v>OK</v>
      </c>
      <c r="J18" s="16"/>
      <c r="K18" s="16"/>
      <c r="L18" s="16"/>
      <c r="M18" s="16"/>
    </row>
    <row r="19" spans="1:13" x14ac:dyDescent="0.25">
      <c r="A19" s="81"/>
      <c r="B19" s="47" t="s">
        <v>44</v>
      </c>
      <c r="C19" s="50">
        <v>150000</v>
      </c>
      <c r="D19" s="51"/>
      <c r="E19" s="52"/>
      <c r="F19" s="81"/>
      <c r="G19" s="103" t="s">
        <v>45</v>
      </c>
      <c r="H19" s="103"/>
      <c r="I19" s="69" t="str">
        <f>IF(I16="Ok", IF(I12&lt;I11,"Falta",IF(I12&gt;I11,"Sobrou","OK")),"Rever tudo")</f>
        <v>OK</v>
      </c>
      <c r="J19" s="16"/>
      <c r="K19" s="16"/>
      <c r="L19" s="16"/>
      <c r="M19" s="16"/>
    </row>
    <row r="20" spans="1:13" x14ac:dyDescent="0.25">
      <c r="A20" s="81"/>
      <c r="B20" s="47" t="s">
        <v>46</v>
      </c>
      <c r="C20" s="50"/>
      <c r="D20" s="51"/>
      <c r="E20" s="52"/>
      <c r="F20" s="81"/>
      <c r="J20" s="16"/>
      <c r="K20" s="16"/>
      <c r="L20" s="16"/>
      <c r="M20" s="16"/>
    </row>
    <row r="21" spans="1:13" x14ac:dyDescent="0.25">
      <c r="A21" s="81"/>
      <c r="B21" s="47" t="s">
        <v>47</v>
      </c>
      <c r="C21" s="50"/>
      <c r="D21" s="51"/>
      <c r="E21" s="52"/>
      <c r="F21" s="81"/>
      <c r="G21" s="81"/>
      <c r="H21" s="81"/>
      <c r="J21" s="16"/>
      <c r="K21" s="16"/>
      <c r="L21" s="16"/>
      <c r="M21" s="16"/>
    </row>
    <row r="22" spans="1:13" x14ac:dyDescent="0.2">
      <c r="A22" s="81"/>
      <c r="B22" s="53" t="s">
        <v>48</v>
      </c>
      <c r="C22" s="54"/>
      <c r="D22" s="51"/>
      <c r="E22" s="52"/>
      <c r="F22" s="81"/>
      <c r="G22" s="104" t="s">
        <v>49</v>
      </c>
      <c r="H22" s="104"/>
      <c r="I22" s="104"/>
      <c r="J22" s="16"/>
      <c r="K22" s="16"/>
      <c r="L22" s="16"/>
      <c r="M22" s="16"/>
    </row>
    <row r="23" spans="1:13" ht="60" customHeight="1" x14ac:dyDescent="0.2">
      <c r="A23" s="81"/>
      <c r="B23" s="53" t="s">
        <v>50</v>
      </c>
      <c r="C23" s="89"/>
      <c r="D23" s="90"/>
      <c r="E23" s="91"/>
      <c r="F23" s="52"/>
      <c r="G23" s="93" t="s">
        <v>51</v>
      </c>
      <c r="H23" s="93"/>
      <c r="I23" s="71"/>
      <c r="J23" s="16"/>
      <c r="K23" s="16"/>
      <c r="L23" s="16"/>
      <c r="M23" s="16"/>
    </row>
    <row r="24" spans="1:13" ht="60" customHeight="1" x14ac:dyDescent="0.2">
      <c r="A24" s="81"/>
      <c r="B24" s="53" t="s">
        <v>52</v>
      </c>
      <c r="C24" s="89"/>
      <c r="D24" s="90"/>
      <c r="E24" s="91"/>
      <c r="F24" s="52"/>
      <c r="G24" s="92" t="s">
        <v>53</v>
      </c>
      <c r="H24" s="92"/>
      <c r="I24" s="71"/>
      <c r="J24" s="16"/>
      <c r="K24" s="16"/>
      <c r="L24" s="16"/>
      <c r="M24" s="16"/>
    </row>
    <row r="25" spans="1:13" ht="60" customHeight="1" x14ac:dyDescent="0.2">
      <c r="A25" s="81"/>
      <c r="B25" s="53" t="s">
        <v>54</v>
      </c>
      <c r="C25" s="89"/>
      <c r="D25" s="90"/>
      <c r="E25" s="91"/>
      <c r="F25" s="52"/>
      <c r="G25" s="92" t="s">
        <v>120</v>
      </c>
      <c r="H25" s="93"/>
      <c r="I25" s="71"/>
      <c r="J25" s="16"/>
      <c r="K25" s="16"/>
      <c r="L25" s="16"/>
      <c r="M25" s="16"/>
    </row>
    <row r="26" spans="1:13" x14ac:dyDescent="0.2">
      <c r="A26" s="81"/>
      <c r="B26" s="81"/>
      <c r="C26" s="81"/>
      <c r="D26" s="51"/>
      <c r="E26" s="52"/>
      <c r="F26" s="52"/>
      <c r="G26" s="81"/>
      <c r="H26" s="81"/>
      <c r="I26" s="16"/>
      <c r="J26" s="16"/>
      <c r="K26" s="16"/>
      <c r="L26" s="16"/>
      <c r="M26" s="16"/>
    </row>
    <row r="27" spans="1:13" x14ac:dyDescent="0.2">
      <c r="A27" s="81"/>
      <c r="B27" s="81"/>
      <c r="C27" s="81"/>
      <c r="D27" s="51"/>
      <c r="E27" s="52"/>
      <c r="F27" s="52"/>
      <c r="G27" s="81"/>
      <c r="H27" s="81"/>
      <c r="I27" s="16"/>
      <c r="J27" s="16"/>
      <c r="K27" s="16"/>
      <c r="L27" s="16"/>
      <c r="M27" s="16"/>
    </row>
    <row r="28" spans="1:13" x14ac:dyDescent="0.2">
      <c r="A28" s="81"/>
      <c r="B28" s="41" t="s">
        <v>55</v>
      </c>
      <c r="C28" s="44" t="s">
        <v>56</v>
      </c>
      <c r="D28" s="45" t="s">
        <v>32</v>
      </c>
      <c r="E28" s="45" t="s">
        <v>57</v>
      </c>
      <c r="F28" s="52"/>
      <c r="G28" s="52"/>
      <c r="H28" s="52"/>
      <c r="I28" s="16"/>
      <c r="J28" s="16"/>
      <c r="K28" s="16"/>
      <c r="L28" s="16"/>
      <c r="M28" s="16"/>
    </row>
    <row r="29" spans="1:13" x14ac:dyDescent="0.25">
      <c r="A29" s="81"/>
      <c r="B29" s="47" t="s">
        <v>115</v>
      </c>
      <c r="C29" s="55">
        <f>VLOOKUP($C$10,$B$96:$H$100,3,FALSE)</f>
        <v>27754</v>
      </c>
      <c r="D29" s="52"/>
      <c r="E29" s="52"/>
      <c r="F29" s="52"/>
      <c r="G29" s="52"/>
      <c r="H29" s="52"/>
      <c r="I29" s="16"/>
      <c r="J29" s="16"/>
      <c r="K29" s="16"/>
      <c r="L29" s="16"/>
      <c r="M29" s="16"/>
    </row>
    <row r="30" spans="1:13" ht="15" x14ac:dyDescent="0.25">
      <c r="A30" s="81"/>
      <c r="B30" s="47" t="s">
        <v>59</v>
      </c>
      <c r="C30" s="56">
        <f>SUM(C31:C32)</f>
        <v>9309</v>
      </c>
      <c r="D30" s="57"/>
      <c r="E30" s="57"/>
      <c r="F30" s="81"/>
      <c r="G30" s="81"/>
      <c r="H30" s="81"/>
    </row>
    <row r="31" spans="1:13" ht="14.25" x14ac:dyDescent="0.2">
      <c r="A31" s="81"/>
      <c r="B31" s="58" t="s">
        <v>60</v>
      </c>
      <c r="C31" s="48">
        <f>C14</f>
        <v>3609</v>
      </c>
      <c r="D31" s="57"/>
      <c r="E31" s="57"/>
      <c r="F31" s="81"/>
      <c r="G31" s="81"/>
      <c r="H31" s="81"/>
    </row>
    <row r="32" spans="1:13" ht="14.25" x14ac:dyDescent="0.2">
      <c r="A32" s="81"/>
      <c r="B32" s="58" t="s">
        <v>61</v>
      </c>
      <c r="C32" s="48">
        <f>SUM(C15:C18)</f>
        <v>5700</v>
      </c>
      <c r="D32" s="39"/>
      <c r="E32" s="39"/>
      <c r="F32" s="81"/>
      <c r="G32" s="81"/>
      <c r="H32" s="81"/>
    </row>
    <row r="33" spans="1:8" ht="15" x14ac:dyDescent="0.25">
      <c r="A33" s="81"/>
      <c r="B33" s="47" t="s">
        <v>62</v>
      </c>
      <c r="C33" s="56">
        <v>100</v>
      </c>
      <c r="D33" s="39"/>
      <c r="E33" s="39"/>
      <c r="F33" s="81"/>
      <c r="G33" s="81"/>
      <c r="H33" s="81"/>
    </row>
    <row r="34" spans="1:8" ht="15" x14ac:dyDescent="0.25">
      <c r="A34" s="81"/>
      <c r="B34" s="47" t="s">
        <v>63</v>
      </c>
      <c r="C34" s="56">
        <f>SUM(C35:C37)</f>
        <v>150000</v>
      </c>
      <c r="D34" s="39"/>
      <c r="E34" s="39"/>
      <c r="F34" s="81"/>
      <c r="G34" s="81"/>
      <c r="H34" s="81"/>
    </row>
    <row r="35" spans="1:8" ht="14.25" x14ac:dyDescent="0.2">
      <c r="A35" s="59"/>
      <c r="B35" s="58" t="s">
        <v>64</v>
      </c>
      <c r="C35" s="48">
        <f t="shared" ref="C35:C37" si="0">C19</f>
        <v>150000</v>
      </c>
      <c r="D35" s="39"/>
      <c r="E35" s="39"/>
      <c r="F35" s="81"/>
      <c r="G35" s="81"/>
      <c r="H35" s="81"/>
    </row>
    <row r="36" spans="1:8" ht="14.25" x14ac:dyDescent="0.2">
      <c r="A36" s="81"/>
      <c r="B36" s="58" t="s">
        <v>65</v>
      </c>
      <c r="C36" s="48">
        <f t="shared" si="0"/>
        <v>0</v>
      </c>
      <c r="D36" s="39"/>
      <c r="E36" s="39"/>
      <c r="F36" s="81"/>
      <c r="G36" s="81"/>
      <c r="H36" s="81"/>
    </row>
    <row r="37" spans="1:8" ht="14.25" x14ac:dyDescent="0.2">
      <c r="A37" s="81"/>
      <c r="B37" s="58" t="s">
        <v>66</v>
      </c>
      <c r="C37" s="48">
        <f t="shared" si="0"/>
        <v>0</v>
      </c>
      <c r="D37" s="39"/>
      <c r="E37" s="39"/>
      <c r="F37" s="81"/>
      <c r="G37" s="81"/>
      <c r="H37" s="81"/>
    </row>
    <row r="38" spans="1:8" ht="14.25" x14ac:dyDescent="0.2">
      <c r="A38" s="81"/>
      <c r="B38" s="58" t="s">
        <v>67</v>
      </c>
      <c r="C38" s="48">
        <f>(I11-C29)-C31-C32-C33-C34</f>
        <v>21041</v>
      </c>
      <c r="D38" s="57"/>
      <c r="E38" s="57"/>
      <c r="F38" s="81"/>
      <c r="G38" s="81"/>
      <c r="H38" s="81"/>
    </row>
    <row r="39" spans="1:8" ht="15" x14ac:dyDescent="0.25">
      <c r="A39" s="81"/>
      <c r="B39" s="47" t="s">
        <v>68</v>
      </c>
      <c r="C39" s="56">
        <f>IF(C38&gt;D39,D39,IF(C38&lt;0.01,0,C38))</f>
        <v>15000</v>
      </c>
      <c r="D39" s="60">
        <f>25%*C11*SUM(D40:D43)</f>
        <v>15000</v>
      </c>
      <c r="E39" s="49" t="s">
        <v>99</v>
      </c>
      <c r="F39" s="81"/>
      <c r="G39" s="81"/>
      <c r="H39" s="81"/>
    </row>
    <row r="40" spans="1:8" ht="15" x14ac:dyDescent="0.25">
      <c r="A40" s="81"/>
      <c r="B40" s="47" t="s">
        <v>69</v>
      </c>
      <c r="C40" s="48">
        <f>$C$39*C87</f>
        <v>5250</v>
      </c>
      <c r="D40" s="73">
        <v>6</v>
      </c>
      <c r="E40" s="48">
        <f>IF(D40=0,"",C40/D40)</f>
        <v>875</v>
      </c>
      <c r="F40" s="81"/>
      <c r="G40" s="81"/>
      <c r="H40" s="81"/>
    </row>
    <row r="41" spans="1:8" ht="15" x14ac:dyDescent="0.25">
      <c r="A41" s="81"/>
      <c r="B41" s="47" t="s">
        <v>70</v>
      </c>
      <c r="C41" s="48">
        <f>$C$39*C88</f>
        <v>4500</v>
      </c>
      <c r="D41" s="49">
        <v>6</v>
      </c>
      <c r="E41" s="48">
        <f>IF(D41=0,"",C41/D41)</f>
        <v>750</v>
      </c>
      <c r="F41" s="81"/>
      <c r="G41" s="81"/>
      <c r="H41" s="81"/>
    </row>
    <row r="42" spans="1:8" ht="15" x14ac:dyDescent="0.25">
      <c r="A42" s="81"/>
      <c r="B42" s="47" t="s">
        <v>71</v>
      </c>
      <c r="C42" s="48">
        <f>$C$39*C89</f>
        <v>3000</v>
      </c>
      <c r="D42" s="49">
        <v>6</v>
      </c>
      <c r="E42" s="48">
        <f t="shared" ref="E42:E43" si="1">IF(D42=0,"",C42/D42)</f>
        <v>500</v>
      </c>
      <c r="F42" s="81"/>
      <c r="G42" s="81"/>
      <c r="H42" s="81"/>
    </row>
    <row r="43" spans="1:8" ht="15" x14ac:dyDescent="0.25">
      <c r="A43" s="81"/>
      <c r="B43" s="47" t="s">
        <v>97</v>
      </c>
      <c r="C43" s="48">
        <f>$C$39*C90</f>
        <v>2250</v>
      </c>
      <c r="D43" s="49">
        <v>6</v>
      </c>
      <c r="E43" s="48">
        <f t="shared" si="1"/>
        <v>375</v>
      </c>
      <c r="F43" s="81"/>
      <c r="G43" s="81"/>
      <c r="H43" s="81"/>
    </row>
    <row r="44" spans="1:8" ht="14.25" x14ac:dyDescent="0.2">
      <c r="A44" s="81"/>
      <c r="B44" s="58" t="s">
        <v>67</v>
      </c>
      <c r="C44" s="48">
        <f>C38-C39</f>
        <v>6041</v>
      </c>
      <c r="D44" s="57"/>
      <c r="E44" s="57"/>
      <c r="F44" s="81"/>
      <c r="G44" s="81"/>
      <c r="H44" s="81"/>
    </row>
    <row r="45" spans="1:8" ht="15" x14ac:dyDescent="0.25">
      <c r="A45" s="81"/>
      <c r="B45" s="47" t="s">
        <v>101</v>
      </c>
      <c r="C45" s="56">
        <f>IF(C38&gt;D39,IF((C38-D39)&gt;D45*C11,D45*C11,C38-D39),0)</f>
        <v>5000</v>
      </c>
      <c r="D45" s="49">
        <v>2</v>
      </c>
      <c r="E45" s="48">
        <f>C45/D45</f>
        <v>2500</v>
      </c>
      <c r="F45" s="81"/>
      <c r="G45" s="81"/>
      <c r="H45" s="81"/>
    </row>
    <row r="46" spans="1:8" ht="15" x14ac:dyDescent="0.25">
      <c r="A46" s="81"/>
      <c r="B46" s="47" t="s">
        <v>100</v>
      </c>
      <c r="C46" s="56">
        <f>IF(C45&lt;C44,C44-C45,0)</f>
        <v>1041</v>
      </c>
      <c r="D46" s="81"/>
      <c r="E46" s="81"/>
      <c r="F46" s="81"/>
      <c r="G46" s="81"/>
      <c r="H46" s="81"/>
    </row>
    <row r="47" spans="1:8" ht="14.25" x14ac:dyDescent="0.2">
      <c r="A47" s="81"/>
      <c r="B47" s="59"/>
      <c r="C47" s="81"/>
      <c r="D47" s="81"/>
      <c r="E47" s="81"/>
      <c r="F47" s="81"/>
      <c r="G47" s="81"/>
      <c r="H47" s="81"/>
    </row>
    <row r="48" spans="1:8" ht="14.25" x14ac:dyDescent="0.2">
      <c r="A48" s="81"/>
      <c r="B48" s="59" t="s">
        <v>72</v>
      </c>
      <c r="C48" s="81"/>
      <c r="D48" s="81"/>
      <c r="E48" s="81"/>
      <c r="F48" s="81"/>
      <c r="G48" s="81"/>
      <c r="H48" s="81"/>
    </row>
    <row r="49" spans="1:9" ht="14.25" x14ac:dyDescent="0.2">
      <c r="A49" s="81"/>
      <c r="B49" s="59" t="s">
        <v>73</v>
      </c>
      <c r="C49" s="61"/>
      <c r="D49" s="61"/>
      <c r="E49" s="61"/>
      <c r="F49" s="61"/>
      <c r="G49" s="81"/>
      <c r="H49" s="81"/>
    </row>
    <row r="50" spans="1:9" ht="15" x14ac:dyDescent="0.2">
      <c r="A50" s="81"/>
      <c r="B50" s="62"/>
      <c r="C50" s="62"/>
      <c r="D50" s="62"/>
      <c r="E50" s="62"/>
      <c r="F50" s="62"/>
      <c r="G50" s="62"/>
      <c r="H50" s="81"/>
    </row>
    <row r="51" spans="1:9" ht="15" x14ac:dyDescent="0.2">
      <c r="A51" s="81"/>
      <c r="B51" s="44" t="s">
        <v>74</v>
      </c>
      <c r="C51" s="44" t="s">
        <v>75</v>
      </c>
      <c r="D51" s="44" t="s">
        <v>76</v>
      </c>
      <c r="E51" s="44" t="s">
        <v>77</v>
      </c>
      <c r="F51" s="44" t="s">
        <v>103</v>
      </c>
      <c r="G51" s="44" t="s">
        <v>104</v>
      </c>
      <c r="H51" s="44" t="s">
        <v>105</v>
      </c>
      <c r="I51" s="44" t="s">
        <v>31</v>
      </c>
    </row>
    <row r="52" spans="1:9" ht="15" x14ac:dyDescent="0.25">
      <c r="A52" s="63">
        <v>1</v>
      </c>
      <c r="B52" s="64">
        <v>43983</v>
      </c>
      <c r="C52" s="65">
        <f t="shared" ref="C52:C76" si="2">IF(A52&lt;=$D$14,E$14,0)</f>
        <v>902.25</v>
      </c>
      <c r="D52" s="65">
        <f>C15</f>
        <v>5700</v>
      </c>
      <c r="E52" s="63"/>
      <c r="F52" s="63"/>
      <c r="G52" s="63"/>
      <c r="H52" s="63"/>
      <c r="I52" s="66">
        <f>SUM(C52:H52)</f>
        <v>6602.25</v>
      </c>
    </row>
    <row r="53" spans="1:9" ht="15" x14ac:dyDescent="0.25">
      <c r="A53" s="63">
        <v>2</v>
      </c>
      <c r="B53" s="64">
        <f>EDATE(B52,1)</f>
        <v>44013</v>
      </c>
      <c r="C53" s="65">
        <f t="shared" si="2"/>
        <v>902.25</v>
      </c>
      <c r="D53" s="65">
        <f t="shared" ref="D53:D55" si="3">C16</f>
        <v>0</v>
      </c>
      <c r="E53" s="65">
        <f>IF($D$40&gt;=6,$E$40,0)</f>
        <v>875</v>
      </c>
      <c r="F53" s="65"/>
      <c r="G53" s="65"/>
      <c r="H53" s="65"/>
      <c r="I53" s="66">
        <f t="shared" ref="I53:I76" si="4">SUM(C53:H53)</f>
        <v>1777.25</v>
      </c>
    </row>
    <row r="54" spans="1:9" ht="15" x14ac:dyDescent="0.25">
      <c r="A54" s="63">
        <v>3</v>
      </c>
      <c r="B54" s="64">
        <f t="shared" ref="B54:B76" si="5">EDATE(B53,1)</f>
        <v>44044</v>
      </c>
      <c r="C54" s="65">
        <f t="shared" si="2"/>
        <v>902.25</v>
      </c>
      <c r="D54" s="65">
        <f t="shared" si="3"/>
        <v>0</v>
      </c>
      <c r="E54" s="65">
        <f>IF($D$40&gt;=5,$E$40,0)</f>
        <v>875</v>
      </c>
      <c r="F54" s="65"/>
      <c r="G54" s="65"/>
      <c r="H54" s="65"/>
      <c r="I54" s="66">
        <f t="shared" si="4"/>
        <v>1777.25</v>
      </c>
    </row>
    <row r="55" spans="1:9" ht="15" x14ac:dyDescent="0.25">
      <c r="A55" s="63">
        <v>4</v>
      </c>
      <c r="B55" s="64">
        <f t="shared" si="5"/>
        <v>44075</v>
      </c>
      <c r="C55" s="65">
        <f t="shared" si="2"/>
        <v>902.25</v>
      </c>
      <c r="D55" s="65">
        <f t="shared" si="3"/>
        <v>0</v>
      </c>
      <c r="E55" s="65">
        <f>IF($D$40&gt;=4,$E$40,0)</f>
        <v>875</v>
      </c>
      <c r="F55" s="65"/>
      <c r="G55" s="65"/>
      <c r="H55" s="65"/>
      <c r="I55" s="66">
        <f t="shared" si="4"/>
        <v>1777.25</v>
      </c>
    </row>
    <row r="56" spans="1:9" ht="15" x14ac:dyDescent="0.25">
      <c r="A56" s="63">
        <v>5</v>
      </c>
      <c r="B56" s="64">
        <f t="shared" si="5"/>
        <v>44105</v>
      </c>
      <c r="C56" s="65">
        <f t="shared" si="2"/>
        <v>0</v>
      </c>
      <c r="D56" s="65"/>
      <c r="E56" s="65">
        <f t="shared" ref="E56:E58" si="6">$E$40</f>
        <v>875</v>
      </c>
      <c r="F56" s="65"/>
      <c r="G56" s="65"/>
      <c r="H56" s="65"/>
      <c r="I56" s="66">
        <f t="shared" si="4"/>
        <v>875</v>
      </c>
    </row>
    <row r="57" spans="1:9" ht="15" x14ac:dyDescent="0.25">
      <c r="A57" s="63">
        <v>6</v>
      </c>
      <c r="B57" s="64">
        <f t="shared" si="5"/>
        <v>44136</v>
      </c>
      <c r="C57" s="65">
        <f t="shared" si="2"/>
        <v>0</v>
      </c>
      <c r="D57" s="65"/>
      <c r="E57" s="65">
        <f t="shared" si="6"/>
        <v>875</v>
      </c>
      <c r="F57" s="65"/>
      <c r="G57" s="65"/>
      <c r="H57" s="65"/>
      <c r="I57" s="66">
        <f t="shared" si="4"/>
        <v>875</v>
      </c>
    </row>
    <row r="58" spans="1:9" ht="15" x14ac:dyDescent="0.25">
      <c r="A58" s="63">
        <v>7</v>
      </c>
      <c r="B58" s="64">
        <f t="shared" si="5"/>
        <v>44166</v>
      </c>
      <c r="C58" s="65">
        <f t="shared" si="2"/>
        <v>0</v>
      </c>
      <c r="D58" s="65"/>
      <c r="E58" s="65">
        <f t="shared" si="6"/>
        <v>875</v>
      </c>
      <c r="F58" s="65"/>
      <c r="G58" s="65"/>
      <c r="H58" s="65"/>
      <c r="I58" s="66">
        <f t="shared" si="4"/>
        <v>875</v>
      </c>
    </row>
    <row r="59" spans="1:9" ht="15" x14ac:dyDescent="0.25">
      <c r="A59" s="63">
        <v>8</v>
      </c>
      <c r="B59" s="64">
        <f t="shared" si="5"/>
        <v>44197</v>
      </c>
      <c r="C59" s="65">
        <f t="shared" si="2"/>
        <v>0</v>
      </c>
      <c r="D59" s="65"/>
      <c r="E59" s="65">
        <f t="shared" ref="E59:E64" si="7">$E$41</f>
        <v>750</v>
      </c>
      <c r="F59" s="65">
        <f>$E$45</f>
        <v>2500</v>
      </c>
      <c r="G59" s="65"/>
      <c r="H59" s="65"/>
      <c r="I59" s="66">
        <f t="shared" si="4"/>
        <v>3250</v>
      </c>
    </row>
    <row r="60" spans="1:9" ht="15" x14ac:dyDescent="0.25">
      <c r="A60" s="63">
        <v>9</v>
      </c>
      <c r="B60" s="64">
        <f t="shared" si="5"/>
        <v>44228</v>
      </c>
      <c r="C60" s="65">
        <f t="shared" si="2"/>
        <v>0</v>
      </c>
      <c r="D60" s="65"/>
      <c r="E60" s="65">
        <f t="shared" si="7"/>
        <v>750</v>
      </c>
      <c r="F60" s="65"/>
      <c r="G60" s="65"/>
      <c r="H60" s="65"/>
      <c r="I60" s="66">
        <f t="shared" si="4"/>
        <v>750</v>
      </c>
    </row>
    <row r="61" spans="1:9" ht="15" x14ac:dyDescent="0.25">
      <c r="A61" s="63">
        <v>10</v>
      </c>
      <c r="B61" s="64">
        <f t="shared" si="5"/>
        <v>44256</v>
      </c>
      <c r="C61" s="65">
        <f t="shared" si="2"/>
        <v>0</v>
      </c>
      <c r="D61" s="65"/>
      <c r="E61" s="65">
        <f t="shared" si="7"/>
        <v>750</v>
      </c>
      <c r="F61" s="65"/>
      <c r="G61" s="65"/>
      <c r="H61" s="65"/>
      <c r="I61" s="66">
        <f t="shared" si="4"/>
        <v>750</v>
      </c>
    </row>
    <row r="62" spans="1:9" ht="15" x14ac:dyDescent="0.25">
      <c r="A62" s="63">
        <v>11</v>
      </c>
      <c r="B62" s="64">
        <f t="shared" si="5"/>
        <v>44287</v>
      </c>
      <c r="C62" s="65">
        <f t="shared" si="2"/>
        <v>0</v>
      </c>
      <c r="D62" s="65"/>
      <c r="E62" s="65">
        <f t="shared" si="7"/>
        <v>750</v>
      </c>
      <c r="F62" s="65"/>
      <c r="G62" s="65"/>
      <c r="H62" s="65"/>
      <c r="I62" s="66">
        <f t="shared" si="4"/>
        <v>750</v>
      </c>
    </row>
    <row r="63" spans="1:9" ht="15" x14ac:dyDescent="0.25">
      <c r="A63" s="63">
        <v>12</v>
      </c>
      <c r="B63" s="64">
        <f t="shared" si="5"/>
        <v>44317</v>
      </c>
      <c r="C63" s="65">
        <f t="shared" si="2"/>
        <v>0</v>
      </c>
      <c r="D63" s="65"/>
      <c r="E63" s="65">
        <f t="shared" si="7"/>
        <v>750</v>
      </c>
      <c r="F63" s="65"/>
      <c r="G63" s="65"/>
      <c r="H63" s="65"/>
      <c r="I63" s="66">
        <f t="shared" si="4"/>
        <v>750</v>
      </c>
    </row>
    <row r="64" spans="1:9" ht="15" x14ac:dyDescent="0.25">
      <c r="A64" s="63">
        <v>13</v>
      </c>
      <c r="B64" s="64">
        <f t="shared" si="5"/>
        <v>44348</v>
      </c>
      <c r="C64" s="65">
        <f t="shared" si="2"/>
        <v>0</v>
      </c>
      <c r="D64" s="65"/>
      <c r="E64" s="65">
        <f t="shared" si="7"/>
        <v>750</v>
      </c>
      <c r="F64" s="65"/>
      <c r="G64" s="65"/>
      <c r="H64" s="65"/>
      <c r="I64" s="66">
        <f t="shared" si="4"/>
        <v>750</v>
      </c>
    </row>
    <row r="65" spans="1:13" ht="15" x14ac:dyDescent="0.25">
      <c r="A65" s="63">
        <v>14</v>
      </c>
      <c r="B65" s="64">
        <f t="shared" si="5"/>
        <v>44378</v>
      </c>
      <c r="C65" s="65">
        <f t="shared" si="2"/>
        <v>0</v>
      </c>
      <c r="D65" s="65"/>
      <c r="E65" s="65">
        <f t="shared" ref="E65:E70" si="8">$E$42</f>
        <v>500</v>
      </c>
      <c r="F65" s="65"/>
      <c r="G65" s="65"/>
      <c r="H65" s="65"/>
      <c r="I65" s="66">
        <f t="shared" si="4"/>
        <v>500</v>
      </c>
    </row>
    <row r="66" spans="1:13" ht="15" x14ac:dyDescent="0.25">
      <c r="A66" s="63">
        <v>15</v>
      </c>
      <c r="B66" s="64">
        <f t="shared" si="5"/>
        <v>44409</v>
      </c>
      <c r="C66" s="65">
        <f t="shared" si="2"/>
        <v>0</v>
      </c>
      <c r="D66" s="65"/>
      <c r="E66" s="65">
        <f t="shared" si="8"/>
        <v>500</v>
      </c>
      <c r="F66" s="65"/>
      <c r="G66" s="65"/>
      <c r="H66" s="65"/>
      <c r="I66" s="66">
        <f t="shared" si="4"/>
        <v>500</v>
      </c>
    </row>
    <row r="67" spans="1:13" ht="15" x14ac:dyDescent="0.25">
      <c r="A67" s="63">
        <v>16</v>
      </c>
      <c r="B67" s="64">
        <f t="shared" si="5"/>
        <v>44440</v>
      </c>
      <c r="C67" s="65">
        <f t="shared" si="2"/>
        <v>0</v>
      </c>
      <c r="D67" s="65"/>
      <c r="E67" s="65">
        <f t="shared" si="8"/>
        <v>500</v>
      </c>
      <c r="F67" s="65"/>
      <c r="G67" s="65"/>
      <c r="H67" s="65"/>
      <c r="I67" s="66">
        <f t="shared" si="4"/>
        <v>500</v>
      </c>
    </row>
    <row r="68" spans="1:13" ht="15" x14ac:dyDescent="0.25">
      <c r="A68" s="63">
        <v>17</v>
      </c>
      <c r="B68" s="64">
        <f t="shared" si="5"/>
        <v>44470</v>
      </c>
      <c r="C68" s="65">
        <f t="shared" si="2"/>
        <v>0</v>
      </c>
      <c r="D68" s="65"/>
      <c r="E68" s="65">
        <f t="shared" si="8"/>
        <v>500</v>
      </c>
      <c r="F68" s="65"/>
      <c r="G68" s="65"/>
      <c r="H68" s="65"/>
      <c r="I68" s="66">
        <f t="shared" si="4"/>
        <v>500</v>
      </c>
    </row>
    <row r="69" spans="1:13" ht="15" x14ac:dyDescent="0.25">
      <c r="A69" s="63">
        <v>18</v>
      </c>
      <c r="B69" s="64">
        <f t="shared" si="5"/>
        <v>44501</v>
      </c>
      <c r="C69" s="65">
        <f t="shared" si="2"/>
        <v>0</v>
      </c>
      <c r="D69" s="65"/>
      <c r="E69" s="65">
        <f t="shared" si="8"/>
        <v>500</v>
      </c>
      <c r="F69" s="65"/>
      <c r="G69" s="65"/>
      <c r="H69" s="65"/>
      <c r="I69" s="66">
        <f t="shared" si="4"/>
        <v>500</v>
      </c>
    </row>
    <row r="70" spans="1:13" ht="15" x14ac:dyDescent="0.25">
      <c r="A70" s="63">
        <v>19</v>
      </c>
      <c r="B70" s="64">
        <f t="shared" si="5"/>
        <v>44531</v>
      </c>
      <c r="C70" s="65">
        <f t="shared" si="2"/>
        <v>0</v>
      </c>
      <c r="D70" s="65"/>
      <c r="E70" s="65">
        <f t="shared" si="8"/>
        <v>500</v>
      </c>
      <c r="F70" s="65"/>
      <c r="G70" s="65"/>
      <c r="H70" s="65"/>
      <c r="I70" s="66">
        <f t="shared" si="4"/>
        <v>500</v>
      </c>
    </row>
    <row r="71" spans="1:13" ht="15" x14ac:dyDescent="0.25">
      <c r="A71" s="63">
        <v>20</v>
      </c>
      <c r="B71" s="64">
        <f t="shared" si="5"/>
        <v>44562</v>
      </c>
      <c r="C71" s="65">
        <f t="shared" si="2"/>
        <v>0</v>
      </c>
      <c r="D71" s="65"/>
      <c r="E71" s="65">
        <f>$E$43</f>
        <v>375</v>
      </c>
      <c r="F71" s="65">
        <f>IF(D45=2,E45,"")</f>
        <v>2500</v>
      </c>
      <c r="G71" s="65"/>
      <c r="H71" s="65"/>
      <c r="I71" s="66">
        <f t="shared" si="4"/>
        <v>2875</v>
      </c>
    </row>
    <row r="72" spans="1:13" ht="15" x14ac:dyDescent="0.25">
      <c r="A72" s="63">
        <v>21</v>
      </c>
      <c r="B72" s="64">
        <f t="shared" si="5"/>
        <v>44593</v>
      </c>
      <c r="C72" s="65">
        <f t="shared" si="2"/>
        <v>0</v>
      </c>
      <c r="D72" s="65"/>
      <c r="E72" s="65">
        <f t="shared" ref="E72:E76" si="9">$E$43</f>
        <v>375</v>
      </c>
      <c r="F72" s="65"/>
      <c r="G72" s="65"/>
      <c r="H72" s="65"/>
      <c r="I72" s="66">
        <f t="shared" si="4"/>
        <v>375</v>
      </c>
    </row>
    <row r="73" spans="1:13" ht="15" x14ac:dyDescent="0.25">
      <c r="A73" s="63">
        <v>22</v>
      </c>
      <c r="B73" s="64">
        <f t="shared" si="5"/>
        <v>44621</v>
      </c>
      <c r="C73" s="65">
        <f t="shared" si="2"/>
        <v>0</v>
      </c>
      <c r="D73" s="65"/>
      <c r="E73" s="65">
        <f t="shared" si="9"/>
        <v>375</v>
      </c>
      <c r="F73" s="65"/>
      <c r="G73" s="65"/>
      <c r="H73" s="65"/>
      <c r="I73" s="66">
        <f t="shared" si="4"/>
        <v>375</v>
      </c>
    </row>
    <row r="74" spans="1:13" ht="15" x14ac:dyDescent="0.25">
      <c r="A74" s="63">
        <v>23</v>
      </c>
      <c r="B74" s="64">
        <f t="shared" si="5"/>
        <v>44652</v>
      </c>
      <c r="C74" s="65">
        <f t="shared" si="2"/>
        <v>0</v>
      </c>
      <c r="D74" s="65"/>
      <c r="E74" s="65">
        <f t="shared" si="9"/>
        <v>375</v>
      </c>
      <c r="F74" s="65"/>
      <c r="G74" s="65"/>
      <c r="H74" s="65"/>
      <c r="I74" s="66">
        <f t="shared" si="4"/>
        <v>375</v>
      </c>
    </row>
    <row r="75" spans="1:13" ht="15" x14ac:dyDescent="0.25">
      <c r="A75" s="63">
        <v>24</v>
      </c>
      <c r="B75" s="64">
        <f t="shared" si="5"/>
        <v>44682</v>
      </c>
      <c r="C75" s="65">
        <f t="shared" si="2"/>
        <v>0</v>
      </c>
      <c r="D75" s="65"/>
      <c r="E75" s="65">
        <f t="shared" si="9"/>
        <v>375</v>
      </c>
      <c r="F75" s="65"/>
      <c r="G75" s="65"/>
      <c r="H75" s="65"/>
      <c r="I75" s="66">
        <f t="shared" si="4"/>
        <v>375</v>
      </c>
    </row>
    <row r="76" spans="1:13" ht="15" x14ac:dyDescent="0.25">
      <c r="A76" s="63">
        <v>25</v>
      </c>
      <c r="B76" s="64">
        <f t="shared" si="5"/>
        <v>44713</v>
      </c>
      <c r="C76" s="65">
        <f t="shared" si="2"/>
        <v>0</v>
      </c>
      <c r="D76" s="65"/>
      <c r="E76" s="65">
        <f t="shared" si="9"/>
        <v>375</v>
      </c>
      <c r="F76" s="65"/>
      <c r="G76" s="65">
        <f>+C46</f>
        <v>1041</v>
      </c>
      <c r="H76" s="65">
        <f>+C33</f>
        <v>100</v>
      </c>
      <c r="I76" s="66">
        <f t="shared" si="4"/>
        <v>1516</v>
      </c>
    </row>
    <row r="78" spans="1:13" ht="18.75" hidden="1" x14ac:dyDescent="0.3">
      <c r="B78" s="94" t="s">
        <v>78</v>
      </c>
      <c r="C78" s="95"/>
      <c r="D78" s="95"/>
      <c r="E78" s="95"/>
      <c r="F78" s="95"/>
      <c r="G78" s="95"/>
      <c r="H78" s="95"/>
    </row>
    <row r="79" spans="1:13" hidden="1" x14ac:dyDescent="0.25">
      <c r="B79" s="22"/>
      <c r="C79" s="16"/>
      <c r="D79" s="19"/>
      <c r="E79" s="19"/>
    </row>
    <row r="80" spans="1:13" hidden="1" x14ac:dyDescent="0.25">
      <c r="B80" s="14" t="s">
        <v>79</v>
      </c>
      <c r="C80" s="15" t="s">
        <v>80</v>
      </c>
      <c r="D80" s="15" t="s">
        <v>81</v>
      </c>
      <c r="E80" s="19"/>
      <c r="G80" s="88"/>
      <c r="H80" s="88"/>
      <c r="I80" s="88"/>
      <c r="J80" s="88"/>
      <c r="K80" s="88"/>
      <c r="L80" s="88"/>
      <c r="M80" s="88"/>
    </row>
    <row r="81" spans="2:10" hidden="1" x14ac:dyDescent="0.25">
      <c r="B81" s="17" t="s">
        <v>58</v>
      </c>
      <c r="C81" s="18"/>
      <c r="D81" s="19"/>
      <c r="E81" s="19"/>
      <c r="H81" s="13"/>
    </row>
    <row r="82" spans="2:10" hidden="1" x14ac:dyDescent="0.25">
      <c r="B82" s="17" t="s">
        <v>59</v>
      </c>
      <c r="C82" s="23">
        <f>VLOOKUP($C$10,$B$96:$H$100,5,FALSE)</f>
        <v>9315.75</v>
      </c>
      <c r="D82" s="19"/>
      <c r="E82" s="19"/>
      <c r="H82" s="13"/>
    </row>
    <row r="83" spans="2:10" hidden="1" x14ac:dyDescent="0.25">
      <c r="B83" s="20" t="s">
        <v>61</v>
      </c>
      <c r="C83" s="24">
        <f>C82-C31</f>
        <v>5706.75</v>
      </c>
      <c r="D83" s="19"/>
      <c r="E83" s="19"/>
    </row>
    <row r="84" spans="2:10" hidden="1" x14ac:dyDescent="0.25">
      <c r="B84" s="17" t="s">
        <v>63</v>
      </c>
      <c r="C84" s="23"/>
      <c r="D84" s="19"/>
      <c r="E84" s="19"/>
    </row>
    <row r="85" spans="2:10" hidden="1" x14ac:dyDescent="0.25">
      <c r="B85" s="20" t="s">
        <v>82</v>
      </c>
      <c r="D85" s="25">
        <f>VLOOKUP(C10,$B$96:$I$100,8,FALSE)</f>
        <v>161280</v>
      </c>
      <c r="E85" s="19"/>
    </row>
    <row r="86" spans="2:10" hidden="1" x14ac:dyDescent="0.25">
      <c r="B86" s="17" t="s">
        <v>83</v>
      </c>
      <c r="C86" s="19"/>
      <c r="D86" s="19"/>
      <c r="E86" s="19"/>
    </row>
    <row r="87" spans="2:10" hidden="1" x14ac:dyDescent="0.25">
      <c r="B87" s="17" t="s">
        <v>84</v>
      </c>
      <c r="C87" s="36">
        <f>IF($E$39="Regressiva",35%,25%)</f>
        <v>0.35</v>
      </c>
      <c r="D87" s="19"/>
      <c r="E87" s="19"/>
      <c r="F87" s="31"/>
    </row>
    <row r="88" spans="2:10" hidden="1" x14ac:dyDescent="0.25">
      <c r="B88" s="17" t="s">
        <v>85</v>
      </c>
      <c r="C88" s="36">
        <f>IF($E$39="Regressiva",30%,25%)</f>
        <v>0.3</v>
      </c>
      <c r="D88" s="19"/>
      <c r="E88" s="19"/>
      <c r="F88" s="31"/>
    </row>
    <row r="89" spans="2:10" hidden="1" x14ac:dyDescent="0.25">
      <c r="B89" s="17" t="s">
        <v>86</v>
      </c>
      <c r="C89" s="36">
        <f>IF($E$39="Regressiva",20%,25%)</f>
        <v>0.2</v>
      </c>
      <c r="D89" s="19"/>
      <c r="E89" s="19"/>
      <c r="F89" s="31"/>
    </row>
    <row r="90" spans="2:10" hidden="1" x14ac:dyDescent="0.25">
      <c r="B90" s="17" t="s">
        <v>98</v>
      </c>
      <c r="C90" s="36">
        <f>IF($E$39="Regressiva",15%,25%)</f>
        <v>0.15</v>
      </c>
      <c r="D90" s="19"/>
      <c r="E90" s="19"/>
      <c r="F90" s="31"/>
    </row>
    <row r="91" spans="2:10" hidden="1" x14ac:dyDescent="0.25">
      <c r="D91" s="19"/>
      <c r="E91" s="19"/>
    </row>
    <row r="92" spans="2:10" hidden="1" x14ac:dyDescent="0.2">
      <c r="B92" s="14" t="s">
        <v>87</v>
      </c>
      <c r="C92" s="83">
        <v>24</v>
      </c>
    </row>
    <row r="93" spans="2:10" ht="15.75" hidden="1" customHeight="1" x14ac:dyDescent="0.2"/>
    <row r="94" spans="2:10" ht="18.75" hidden="1" x14ac:dyDescent="0.25">
      <c r="B94" s="26" t="s">
        <v>88</v>
      </c>
      <c r="C94" s="27"/>
      <c r="D94" s="28"/>
      <c r="E94" s="28"/>
      <c r="F94" s="87" t="s">
        <v>89</v>
      </c>
      <c r="G94" s="88"/>
      <c r="H94" s="28"/>
    </row>
    <row r="95" spans="2:10" ht="31.5" hidden="1" x14ac:dyDescent="0.2">
      <c r="B95" s="14" t="s">
        <v>0</v>
      </c>
      <c r="C95" s="15" t="s">
        <v>90</v>
      </c>
      <c r="D95" s="15" t="s">
        <v>1</v>
      </c>
      <c r="E95" s="15" t="s">
        <v>2</v>
      </c>
      <c r="F95" s="15" t="s">
        <v>91</v>
      </c>
      <c r="G95" s="15" t="s">
        <v>92</v>
      </c>
      <c r="H95" s="15" t="s">
        <v>4</v>
      </c>
      <c r="I95" s="29" t="s">
        <v>93</v>
      </c>
      <c r="J95" s="29" t="s">
        <v>94</v>
      </c>
    </row>
    <row r="96" spans="2:10" hidden="1" x14ac:dyDescent="0.25">
      <c r="B96" s="17" t="s">
        <v>95</v>
      </c>
      <c r="C96" s="30">
        <f>'Tabela 2.1 B'!B15</f>
        <v>205815</v>
      </c>
      <c r="D96" s="30">
        <f>'Tabela 2.1 B'!C15</f>
        <v>33615</v>
      </c>
      <c r="E96" s="30">
        <f>'Tabela 2.1 B'!D15</f>
        <v>172200</v>
      </c>
      <c r="F96" s="30">
        <f>'Tabela 2.1 B'!E15</f>
        <v>9027</v>
      </c>
      <c r="G96" s="30">
        <f>'Tabela 2.1 B'!F15</f>
        <v>163073</v>
      </c>
      <c r="H96" s="30">
        <f>'Tabela 2.1 B'!G15</f>
        <v>100</v>
      </c>
      <c r="I96" s="30">
        <v>159600</v>
      </c>
      <c r="J96" s="21">
        <v>0</v>
      </c>
    </row>
    <row r="97" spans="2:10" hidden="1" x14ac:dyDescent="0.25">
      <c r="B97" s="17" t="s">
        <v>6</v>
      </c>
      <c r="C97" s="30">
        <f>'Tabela 2.1 B'!B16</f>
        <v>207154</v>
      </c>
      <c r="D97" s="30">
        <f>'Tabela 2.1 B'!C16</f>
        <v>26704</v>
      </c>
      <c r="E97" s="30">
        <f>'Tabela 2.1 B'!D16</f>
        <v>180450</v>
      </c>
      <c r="F97" s="30">
        <f>'Tabela 2.1 B'!E16</f>
        <v>9315.75</v>
      </c>
      <c r="G97" s="30">
        <f>'Tabela 2.1 B'!F16</f>
        <v>171034.25</v>
      </c>
      <c r="H97" s="30">
        <f>'Tabela 2.1 B'!G16</f>
        <v>100</v>
      </c>
      <c r="I97" s="30">
        <v>160440</v>
      </c>
      <c r="J97" s="21">
        <v>1</v>
      </c>
    </row>
    <row r="98" spans="2:10" hidden="1" x14ac:dyDescent="0.25">
      <c r="B98" s="17" t="s">
        <v>7</v>
      </c>
      <c r="C98" s="30">
        <f>'Tabela 2.1 B'!B17</f>
        <v>208265</v>
      </c>
      <c r="D98" s="30">
        <f>'Tabela 2.1 B'!C17</f>
        <v>26065</v>
      </c>
      <c r="E98" s="30">
        <f>'Tabela 2.1 B'!D17</f>
        <v>182200</v>
      </c>
      <c r="F98" s="30">
        <f>'Tabela 2.1 B'!E17</f>
        <v>9377</v>
      </c>
      <c r="G98" s="30">
        <f>'Tabela 2.1 B'!F17</f>
        <v>172723</v>
      </c>
      <c r="H98" s="30">
        <f>'Tabela 2.1 B'!G17</f>
        <v>100</v>
      </c>
      <c r="I98" s="30">
        <v>161280</v>
      </c>
      <c r="J98" s="21">
        <v>2</v>
      </c>
    </row>
    <row r="99" spans="2:10" hidden="1" x14ac:dyDescent="0.25">
      <c r="B99" s="17" t="s">
        <v>8</v>
      </c>
      <c r="C99" s="30">
        <f>'Tabela 2.1 B'!B18</f>
        <v>208204</v>
      </c>
      <c r="D99" s="30">
        <f>'Tabela 2.1 B'!C18</f>
        <v>27754</v>
      </c>
      <c r="E99" s="30">
        <f>'Tabela 2.1 B'!D18</f>
        <v>180450</v>
      </c>
      <c r="F99" s="30">
        <f>'Tabela 2.1 B'!E18</f>
        <v>9315.75</v>
      </c>
      <c r="G99" s="30">
        <f>'Tabela 2.1 B'!F18</f>
        <v>171034.25</v>
      </c>
      <c r="H99" s="30">
        <f>'Tabela 2.1 B'!G18</f>
        <v>100</v>
      </c>
      <c r="I99" s="30">
        <v>161280</v>
      </c>
      <c r="J99" s="21">
        <v>3</v>
      </c>
    </row>
    <row r="100" spans="2:10" hidden="1" x14ac:dyDescent="0.25">
      <c r="B100" s="17" t="s">
        <v>9</v>
      </c>
      <c r="C100" s="30">
        <f>'Tabela 2.1 B'!B19</f>
        <v>206988</v>
      </c>
      <c r="D100" s="30">
        <f>'Tabela 2.1 B'!C19</f>
        <v>31288</v>
      </c>
      <c r="E100" s="30">
        <f>'Tabela 2.1 B'!D19</f>
        <v>175700</v>
      </c>
      <c r="F100" s="30">
        <f>'Tabela 2.1 B'!E19</f>
        <v>9149.5</v>
      </c>
      <c r="G100" s="30">
        <f>'Tabela 2.1 B'!F19</f>
        <v>166450.5</v>
      </c>
      <c r="H100" s="30">
        <f>'Tabela 2.1 B'!G19</f>
        <v>100</v>
      </c>
      <c r="I100" s="30">
        <v>160440</v>
      </c>
      <c r="J100" s="21">
        <v>4</v>
      </c>
    </row>
  </sheetData>
  <mergeCells count="22">
    <mergeCell ref="B1:D1"/>
    <mergeCell ref="G3:H3"/>
    <mergeCell ref="C23:E23"/>
    <mergeCell ref="G23:H23"/>
    <mergeCell ref="G10:I10"/>
    <mergeCell ref="G11:H11"/>
    <mergeCell ref="G12:H12"/>
    <mergeCell ref="G13:H13"/>
    <mergeCell ref="G14:H14"/>
    <mergeCell ref="G15:H15"/>
    <mergeCell ref="G16:H16"/>
    <mergeCell ref="G17:H17"/>
    <mergeCell ref="G18:H18"/>
    <mergeCell ref="G19:H19"/>
    <mergeCell ref="G22:I22"/>
    <mergeCell ref="F94:G94"/>
    <mergeCell ref="C24:E24"/>
    <mergeCell ref="G24:H24"/>
    <mergeCell ref="C25:E25"/>
    <mergeCell ref="G25:H25"/>
    <mergeCell ref="B78:H78"/>
    <mergeCell ref="G80:M80"/>
  </mergeCells>
  <conditionalFormatting sqref="C45">
    <cfRule type="cellIs" dxfId="10" priority="4" operator="greaterThan">
      <formula>"f42"</formula>
    </cfRule>
  </conditionalFormatting>
  <conditionalFormatting sqref="I14 I19">
    <cfRule type="cellIs" dxfId="9" priority="5" operator="equal">
      <formula>"Ok"</formula>
    </cfRule>
  </conditionalFormatting>
  <conditionalFormatting sqref="I14 I19">
    <cfRule type="containsText" dxfId="8" priority="6" operator="containsText" text="Rever">
      <formula>NOT(ISERROR(SEARCH(("Rever"),(I14))))</formula>
    </cfRule>
  </conditionalFormatting>
  <conditionalFormatting sqref="I15:I16 I18">
    <cfRule type="cellIs" dxfId="7" priority="7" operator="equal">
      <formula>"OK"</formula>
    </cfRule>
  </conditionalFormatting>
  <conditionalFormatting sqref="I15:I16 I18">
    <cfRule type="cellIs" dxfId="6" priority="8" operator="notEqual">
      <formula>"OK"</formula>
    </cfRule>
  </conditionalFormatting>
  <conditionalFormatting sqref="I13">
    <cfRule type="cellIs" dxfId="5" priority="9" operator="lessThan">
      <formula>0</formula>
    </cfRule>
  </conditionalFormatting>
  <conditionalFormatting sqref="I14">
    <cfRule type="cellIs" dxfId="4" priority="10" operator="equal">
      <formula>"Entrada Zero"</formula>
    </cfRule>
  </conditionalFormatting>
  <conditionalFormatting sqref="I14">
    <cfRule type="cellIs" dxfId="3" priority="11" operator="equal">
      <formula>"Sem ato"</formula>
    </cfRule>
  </conditionalFormatting>
  <conditionalFormatting sqref="C46">
    <cfRule type="cellIs" dxfId="2" priority="3" operator="greaterThan">
      <formula>"f42"</formula>
    </cfRule>
  </conditionalFormatting>
  <conditionalFormatting sqref="I17">
    <cfRule type="cellIs" dxfId="1" priority="1" operator="equal">
      <formula>"OK"</formula>
    </cfRule>
  </conditionalFormatting>
  <conditionalFormatting sqref="I17">
    <cfRule type="cellIs" dxfId="0" priority="2" operator="notEqual">
      <formula>"OK"</formula>
    </cfRule>
  </conditionalFormatting>
  <dataValidations disablePrompts="1" count="7">
    <dataValidation type="list" allowBlank="1" showErrorMessage="1" sqref="C9">
      <formula1>"1,2,3,4,11,12,13,14,21,22,23,24,31,32,33,34,41,42,43,44"</formula1>
    </dataValidation>
    <dataValidation type="list" allowBlank="1" showErrorMessage="1" sqref="D45">
      <formula1>"1,2"</formula1>
    </dataValidation>
    <dataValidation type="list" allowBlank="1" showErrorMessage="1" sqref="C10">
      <formula1>$B$96:$B$100</formula1>
    </dataValidation>
    <dataValidation type="list" allowBlank="1" showErrorMessage="1" sqref="C8">
      <formula1>"1,2,3,4,5,6,7,8,9,10"</formula1>
    </dataValidation>
    <dataValidation type="list" allowBlank="1" showErrorMessage="1" sqref="E39">
      <formula1>"Regressiva,Linear"</formula1>
    </dataValidation>
    <dataValidation type="list" allowBlank="1" showErrorMessage="1" sqref="C22">
      <formula1>"5,15,25"</formula1>
    </dataValidation>
    <dataValidation type="list" allowBlank="1" showErrorMessage="1" sqref="D40:D43 D14">
      <formula1>"0,1,2,3,4,5,6"</formula1>
    </dataValidation>
  </dataValidations>
  <printOptions horizontalCentered="1" verticalCentered="1" gridLines="1"/>
  <pageMargins left="0.7" right="0.7" top="0.75" bottom="0.75" header="0" footer="0"/>
  <pageSetup paperSize="9" scale="54" pageOrder="overThenDown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2</vt:i4>
      </vt:variant>
    </vt:vector>
  </HeadingPairs>
  <TitlesOfParts>
    <vt:vector size="5" baseType="lpstr">
      <vt:lpstr>Tabela 2.1 B</vt:lpstr>
      <vt:lpstr>SIMUL 2.1 B</vt:lpstr>
      <vt:lpstr>SIMUL 2.1 (COHAB)</vt:lpstr>
      <vt:lpstr>'SIMUL 2.1 (COHAB)'!Area_de_impressao</vt:lpstr>
      <vt:lpstr>'SIMUL 2.1 B'!Area_de_impressao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Bruno Fakiani</dc:creator>
  <cp:lastModifiedBy>BRUNO</cp:lastModifiedBy>
  <cp:lastPrinted>2020-03-20T19:48:02Z</cp:lastPrinted>
  <dcterms:created xsi:type="dcterms:W3CDTF">2019-01-25T18:57:33Z</dcterms:created>
  <dcterms:modified xsi:type="dcterms:W3CDTF">2020-06-02T15:34:09Z</dcterms:modified>
</cp:coreProperties>
</file>